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Denne_projektmappe"/>
  <mc:AlternateContent xmlns:mc="http://schemas.openxmlformats.org/markup-compatibility/2006">
    <mc:Choice Requires="x15">
      <x15ac:absPath xmlns:x15ac="http://schemas.microsoft.com/office/spreadsheetml/2010/11/ac" url="C:\Users\240212\Downloads\"/>
    </mc:Choice>
  </mc:AlternateContent>
  <xr:revisionPtr revIDLastSave="0" documentId="13_ncr:1_{A699BDBA-EDAE-4B94-A960-B72161AB2D2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ÅOP ÅOK" sheetId="1" r:id="rId1"/>
    <sheet name="Data" sheetId="3" state="veryHidden" r:id="rId2"/>
  </sheets>
  <definedNames>
    <definedName name="_xlnm.Print_Area" localSheetId="0">'ÅOP ÅOK'!$A$1:$H$43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3" i="1"/>
  <c r="I21" i="3" l="1"/>
  <c r="U13" i="3"/>
  <c r="U12" i="3"/>
  <c r="U11" i="3"/>
  <c r="U10" i="3"/>
  <c r="T12" i="3"/>
  <c r="T11" i="3"/>
  <c r="T10" i="3"/>
  <c r="T13" i="3"/>
  <c r="S13" i="3"/>
  <c r="S12" i="3"/>
  <c r="S11" i="3"/>
  <c r="S10" i="3"/>
  <c r="I23" i="3" l="1"/>
  <c r="I22" i="3"/>
  <c r="C22" i="1"/>
  <c r="D22" i="1" s="1"/>
  <c r="B11" i="1"/>
  <c r="I18" i="3"/>
  <c r="J22" i="3"/>
  <c r="K22" i="3"/>
  <c r="L22" i="3"/>
  <c r="M22" i="3"/>
  <c r="N22" i="3"/>
  <c r="O22" i="3"/>
  <c r="P22" i="3"/>
  <c r="Q22" i="3"/>
  <c r="J23" i="3"/>
  <c r="K23" i="3"/>
  <c r="L23" i="3"/>
  <c r="M23" i="3"/>
  <c r="N23" i="3"/>
  <c r="O23" i="3"/>
  <c r="P23" i="3"/>
  <c r="Q23" i="3"/>
  <c r="J21" i="3"/>
  <c r="K21" i="3"/>
  <c r="L21" i="3"/>
  <c r="M21" i="3"/>
  <c r="M24" i="3" s="1"/>
  <c r="N21" i="3"/>
  <c r="O21" i="3"/>
  <c r="P21" i="3"/>
  <c r="Q21" i="3"/>
  <c r="D24" i="1" s="1"/>
  <c r="L24" i="3" l="1"/>
  <c r="N24" i="3"/>
  <c r="Q24" i="3"/>
  <c r="K24" i="3"/>
  <c r="P24" i="3"/>
  <c r="J24" i="3"/>
  <c r="O24" i="3"/>
  <c r="I24" i="3"/>
  <c r="Q28" i="3"/>
  <c r="Q27" i="3"/>
  <c r="Y41" i="3" l="1"/>
  <c r="I30" i="3" l="1"/>
  <c r="Q19" i="3"/>
  <c r="Q18" i="3"/>
  <c r="D23" i="1" s="1"/>
  <c r="J18" i="3"/>
  <c r="K18" i="3"/>
  <c r="L18" i="3"/>
  <c r="M18" i="3"/>
  <c r="N18" i="3"/>
  <c r="O18" i="3"/>
  <c r="P18" i="3"/>
  <c r="J19" i="3"/>
  <c r="K19" i="3"/>
  <c r="L19" i="3"/>
  <c r="M19" i="3"/>
  <c r="N19" i="3"/>
  <c r="O19" i="3"/>
  <c r="P19" i="3"/>
  <c r="J20" i="3"/>
  <c r="K20" i="3"/>
  <c r="L20" i="3"/>
  <c r="M20" i="3"/>
  <c r="N20" i="3"/>
  <c r="O20" i="3"/>
  <c r="P20" i="3"/>
  <c r="Q20" i="3"/>
  <c r="I20" i="3"/>
  <c r="I19" i="3"/>
  <c r="J26" i="3" l="1"/>
  <c r="K26" i="3"/>
  <c r="L26" i="3"/>
  <c r="M26" i="3"/>
  <c r="N26" i="3"/>
  <c r="O26" i="3"/>
  <c r="P26" i="3"/>
  <c r="Q26" i="3"/>
  <c r="J27" i="3"/>
  <c r="K27" i="3"/>
  <c r="L27" i="3"/>
  <c r="M27" i="3"/>
  <c r="N27" i="3"/>
  <c r="O27" i="3"/>
  <c r="P27" i="3"/>
  <c r="J28" i="3"/>
  <c r="K28" i="3"/>
  <c r="L28" i="3"/>
  <c r="M28" i="3"/>
  <c r="N28" i="3"/>
  <c r="O28" i="3"/>
  <c r="P28" i="3"/>
  <c r="J29" i="3"/>
  <c r="K29" i="3"/>
  <c r="L29" i="3"/>
  <c r="M29" i="3"/>
  <c r="N29" i="3"/>
  <c r="O29" i="3"/>
  <c r="P29" i="3"/>
  <c r="Q29" i="3"/>
  <c r="J30" i="3"/>
  <c r="K30" i="3"/>
  <c r="L30" i="3"/>
  <c r="M30" i="3"/>
  <c r="N30" i="3"/>
  <c r="O30" i="3"/>
  <c r="P30" i="3"/>
  <c r="Q30" i="3"/>
  <c r="K31" i="3"/>
  <c r="L31" i="3"/>
  <c r="M31" i="3"/>
  <c r="N31" i="3"/>
  <c r="P31" i="3"/>
  <c r="Q31" i="3"/>
  <c r="I27" i="3"/>
  <c r="I28" i="3"/>
  <c r="I29" i="3"/>
  <c r="I31" i="3"/>
  <c r="I26" i="3"/>
  <c r="J31" i="3"/>
  <c r="M33" i="3" l="1"/>
  <c r="L33" i="3"/>
  <c r="Q33" i="3"/>
  <c r="O31" i="3"/>
  <c r="O33" i="3" s="1"/>
  <c r="I33" i="3"/>
  <c r="P33" i="3"/>
  <c r="K33" i="3"/>
  <c r="N33" i="3"/>
  <c r="J33" i="3"/>
  <c r="T30" i="3"/>
  <c r="C21" i="1" l="1"/>
  <c r="C19" i="1" s="1"/>
  <c r="Z30" i="3"/>
  <c r="Y30" i="3"/>
  <c r="X30" i="3"/>
  <c r="K35" i="3" l="1"/>
  <c r="K37" i="3" s="1"/>
  <c r="P35" i="3"/>
  <c r="P37" i="3" s="1"/>
  <c r="O35" i="3"/>
  <c r="O37" i="3" s="1"/>
  <c r="W30" i="3"/>
  <c r="U30" i="3" s="1"/>
  <c r="Q35" i="3"/>
  <c r="Q37" i="3" s="1"/>
  <c r="N35" i="3"/>
  <c r="N37" i="3" s="1"/>
  <c r="L35" i="3"/>
  <c r="L37" i="3" s="1"/>
  <c r="I35" i="3"/>
  <c r="I37" i="3" s="1"/>
  <c r="M35" i="3"/>
  <c r="M37" i="3" s="1"/>
  <c r="J35" i="3"/>
  <c r="J37" i="3" s="1"/>
  <c r="D21" i="1"/>
  <c r="D19" i="1" s="1"/>
  <c r="Y40" i="3"/>
  <c r="Y39" i="3"/>
  <c r="Y36" i="3"/>
  <c r="Y38" i="3"/>
  <c r="Y37" i="3"/>
  <c r="X36" i="3" l="1"/>
  <c r="X39" i="3"/>
  <c r="X38" i="3"/>
  <c r="X37" i="3"/>
  <c r="X40" i="3"/>
  <c r="X41" i="3"/>
  <c r="T35" i="3" l="1"/>
  <c r="U37" i="3" s="1"/>
  <c r="Q16" i="3"/>
  <c r="P16" i="3"/>
  <c r="O16" i="3"/>
  <c r="N16" i="3"/>
  <c r="M16" i="3"/>
  <c r="L16" i="3"/>
  <c r="K16" i="3"/>
  <c r="J16" i="3"/>
  <c r="I16" i="3"/>
  <c r="U40" i="3" l="1"/>
  <c r="U39" i="3"/>
  <c r="U3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 Mølgaard Nielsen</author>
  </authors>
  <commentList>
    <comment ref="R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Bo Mølgaard Nielsen:</t>
        </r>
        <r>
          <rPr>
            <sz val="9"/>
            <color indexed="81"/>
            <rFont val="Tahoma"/>
            <family val="2"/>
          </rPr>
          <t xml:space="preserve">
Fastsat ud fra investeringsrammer:
100% Stats- og realkreditobligationer</t>
        </r>
      </text>
    </comment>
    <comment ref="R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Bo Mølgaard Nielsen:</t>
        </r>
        <r>
          <rPr>
            <sz val="9"/>
            <color indexed="81"/>
            <rFont val="Tahoma"/>
            <family val="2"/>
          </rPr>
          <t xml:space="preserve">
Fastsat ud fra investeringsrammer:
100% Stats- og realkreditobligationer</t>
        </r>
      </text>
    </comment>
    <comment ref="R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Bo Mølgaard Nielsen:</t>
        </r>
        <r>
          <rPr>
            <sz val="9"/>
            <color indexed="81"/>
            <rFont val="Tahoma"/>
            <family val="2"/>
          </rPr>
          <t xml:space="preserve">
Fastsat ud fra investeringsrammer:
100% Globale aktier (developed markets)</t>
        </r>
      </text>
    </comment>
    <comment ref="R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Bo Mølgaard Nielsen:</t>
        </r>
        <r>
          <rPr>
            <sz val="9"/>
            <color indexed="81"/>
            <rFont val="Tahoma"/>
            <family val="2"/>
          </rPr>
          <t xml:space="preserve">
Fastsat ud fra investeringsrammer:
100% Stats- og realkreditobligationer</t>
        </r>
      </text>
    </comment>
    <comment ref="R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Bo Mølgaard Nielsen:</t>
        </r>
        <r>
          <rPr>
            <sz val="9"/>
            <color indexed="81"/>
            <rFont val="Tahoma"/>
            <family val="2"/>
          </rPr>
          <t xml:space="preserve">
Fastsat ud fra investeringsrammer:
50% Investment grad obligationer
25% High-yield obligationer
25% Emerging markets obligationer</t>
        </r>
      </text>
    </comment>
    <comment ref="R1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Bo Mølgaard Nielsen:</t>
        </r>
        <r>
          <rPr>
            <sz val="9"/>
            <color indexed="81"/>
            <rFont val="Tahoma"/>
            <family val="2"/>
          </rPr>
          <t xml:space="preserve">
Fastsat ud fra investeringsrammer:
50% Globale aktier (developed markets)
25% stats- og realkredigobligationer
25% Samf.FU for pulje 6</t>
        </r>
      </text>
    </comment>
  </commentList>
</comments>
</file>

<file path=xl/sharedStrings.xml><?xml version="1.0" encoding="utf-8"?>
<sst xmlns="http://schemas.openxmlformats.org/spreadsheetml/2006/main" count="93" uniqueCount="62">
  <si>
    <t>Pulje 1 Indeksobl.</t>
  </si>
  <si>
    <t>Pulje 2 Lange obl.</t>
  </si>
  <si>
    <t>Pulje 3 Aktier</t>
  </si>
  <si>
    <t>Pulje 4 Korte obl.</t>
  </si>
  <si>
    <t>Pulje 6 Vrk. højrenteobl.</t>
  </si>
  <si>
    <t>Pulje 8 Mix Nrs.</t>
  </si>
  <si>
    <t>ÅOP</t>
  </si>
  <si>
    <t>Kurtage</t>
  </si>
  <si>
    <t>Risiko</t>
  </si>
  <si>
    <t>Tidshorisont</t>
  </si>
  <si>
    <t>Lav</t>
  </si>
  <si>
    <t>Høj</t>
  </si>
  <si>
    <t>0 - 2 år</t>
  </si>
  <si>
    <t>2 - 6 år</t>
  </si>
  <si>
    <t>Over 6 år</t>
  </si>
  <si>
    <t>Vælg</t>
  </si>
  <si>
    <t>Investeringsbeløb</t>
  </si>
  <si>
    <t>Månedlig indbetaling</t>
  </si>
  <si>
    <t>Handelsomkostninger</t>
  </si>
  <si>
    <t>Indirekte omkostninger</t>
  </si>
  <si>
    <t>Tjek</t>
  </si>
  <si>
    <t>KURTAGE</t>
  </si>
  <si>
    <t>Grundgebyr</t>
  </si>
  <si>
    <t>Puljetillæg</t>
  </si>
  <si>
    <t>P.tillæg</t>
  </si>
  <si>
    <t>ÅOK</t>
  </si>
  <si>
    <t>KR</t>
  </si>
  <si>
    <t>BANKVALG</t>
  </si>
  <si>
    <t>Lav0 - 2 år</t>
  </si>
  <si>
    <t>Lav2 - 6 år</t>
  </si>
  <si>
    <t>LavOver 6 år</t>
  </si>
  <si>
    <t>Høj0 - 2 år</t>
  </si>
  <si>
    <t>Høj2 - 6 år</t>
  </si>
  <si>
    <t>HøjOver 6 år</t>
  </si>
  <si>
    <t>Investeringsfordeling</t>
  </si>
  <si>
    <t>Grå = Aktier, Hvid = Obligationer</t>
  </si>
  <si>
    <t>De forventede årlige omkostninger</t>
  </si>
  <si>
    <t>Samf.FU 19</t>
  </si>
  <si>
    <t>Fremskrevet værdi jvf samf.FU</t>
  </si>
  <si>
    <t>Fremskrivning af opsparingens størrelse ultimo opsparingsåret jfr Samf.FU (primo året = indeks 100)</t>
  </si>
  <si>
    <t>Beregning af ÅOK v. månedlige indbetalinger, iht henstilling skal denne behandles som om alle indbetalinger skete først på året (12 måneder)</t>
  </si>
  <si>
    <t>Bruges ikke i beregneren</t>
  </si>
  <si>
    <t>Anvendes til cirkeldiagrammer</t>
  </si>
  <si>
    <t>Fratrukket omkostninger</t>
  </si>
  <si>
    <t>Nettoafkast</t>
  </si>
  <si>
    <t>Advarsel, at der ikke ydes nysalg</t>
  </si>
  <si>
    <t>Pulje 8 MIX</t>
  </si>
  <si>
    <t>Middel</t>
  </si>
  <si>
    <t>Middel0 - 2 år</t>
  </si>
  <si>
    <t>Middel2 - 6 år</t>
  </si>
  <si>
    <t>MiddelOver 6 år</t>
  </si>
  <si>
    <t>PDA</t>
  </si>
  <si>
    <t>PKO</t>
  </si>
  <si>
    <t>PVI</t>
  </si>
  <si>
    <t>PLO</t>
  </si>
  <si>
    <t>Løbende omk.</t>
  </si>
  <si>
    <t>Indtrædelses omk.</t>
  </si>
  <si>
    <t>Udtrædelses omk.</t>
  </si>
  <si>
    <t>Løbende omkostninger</t>
  </si>
  <si>
    <t>Omkostninger p.a.</t>
  </si>
  <si>
    <t>Omkostningsspecifikation</t>
  </si>
  <si>
    <r>
      <rPr>
        <b/>
        <sz val="9"/>
        <color theme="1"/>
        <rFont val="Verdana"/>
        <family val="2"/>
      </rPr>
      <t>Beregningsforudsætninger og forklaringer</t>
    </r>
    <r>
      <rPr>
        <sz val="9"/>
        <color theme="1"/>
        <rFont val="Verdana"/>
        <family val="2"/>
      </rPr>
      <t xml:space="preserve">
Der betales ikke investeringsrelaterede engangsomkostninger til banken ved oprettelse eller udtrædelse af Puljeinvestering Bankvalg.
Alle angivne omkostninger i Puljeinvestering Bankvalg, og i denne omkostningsberegner, er af løbene karakter og beregnet ud fra den aktuelle puljesammensætning og investeringsstrategi. Herudover er den løbende omkostning oplyst på pro anno basis.
Omkostningsposten ”</t>
    </r>
    <r>
      <rPr>
        <i/>
        <sz val="9"/>
        <color theme="1"/>
        <rFont val="Verdana"/>
        <family val="2"/>
      </rPr>
      <t>Grundgebyr</t>
    </r>
    <r>
      <rPr>
        <sz val="9"/>
        <color theme="1"/>
        <rFont val="Verdana"/>
        <family val="2"/>
      </rPr>
      <t>” dækker over puljeordningens samlede grundgebyr.
Omkostningsposten ”</t>
    </r>
    <r>
      <rPr>
        <i/>
        <sz val="9"/>
        <color theme="1"/>
        <rFont val="Verdana"/>
        <family val="2"/>
      </rPr>
      <t>Puljetillæg</t>
    </r>
    <r>
      <rPr>
        <sz val="9"/>
        <color theme="1"/>
        <rFont val="Verdana"/>
        <family val="2"/>
      </rPr>
      <t>” dækker over puljeordningens samlede puljetillæg.
Omkostningsposten ”</t>
    </r>
    <r>
      <rPr>
        <i/>
        <sz val="9"/>
        <color theme="1"/>
        <rFont val="Verdana"/>
        <family val="2"/>
      </rPr>
      <t>Handelsomkostninger</t>
    </r>
    <r>
      <rPr>
        <sz val="9"/>
        <color theme="1"/>
        <rFont val="Verdana"/>
        <family val="2"/>
      </rPr>
      <t>” dækker over to ting:
1. Historiske handelsomkostninger, beregnet ud fra faktiske handelsomkostninger fra det foregående år.
2. Ind- og udtrædelsesomkostninger, relaterer sig til eksterne fondsforvaltere, den anvendte sats er beregnet ud fra en 7-årig holdeperiode.
Omkostningsposten ”</t>
    </r>
    <r>
      <rPr>
        <i/>
        <sz val="9"/>
        <color theme="1"/>
        <rFont val="Verdana"/>
        <family val="2"/>
      </rPr>
      <t>Løbende omkostninger</t>
    </r>
    <r>
      <rPr>
        <sz val="9"/>
        <color theme="1"/>
        <rFont val="Verdana"/>
        <family val="2"/>
      </rPr>
      <t>” består af løbende administrations- og forvaltningsomkostninger og relaterer sig til eksterne fondsforvaltere.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</si>
</sst>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  <numFmt numFmtId="167" formatCode="0.0%"/>
    <numFmt numFmtId="168" formatCode="_ * #,##0.00_ ;_ * \-#,##0.00_ ;_ * &quot;-&quot;?_ ;_ @_ "/>
  </numFmts>
  <fonts count="10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164" fontId="0" fillId="0" borderId="0" xfId="1" applyFont="1"/>
    <xf numFmtId="164" fontId="0" fillId="0" borderId="0" xfId="0" applyNumberFormat="1"/>
    <xf numFmtId="0" fontId="0" fillId="3" borderId="9" xfId="0" applyFill="1" applyBorder="1" applyProtection="1">
      <protection locked="0"/>
    </xf>
    <xf numFmtId="165" fontId="0" fillId="3" borderId="9" xfId="1" applyNumberFormat="1" applyFont="1" applyFill="1" applyBorder="1" applyProtection="1">
      <protection locked="0"/>
    </xf>
    <xf numFmtId="0" fontId="2" fillId="2" borderId="1" xfId="0" applyFont="1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0" xfId="0" applyFill="1" applyBorder="1" applyProtection="1"/>
    <xf numFmtId="0" fontId="0" fillId="2" borderId="5" xfId="0" applyFill="1" applyBorder="1" applyProtection="1"/>
    <xf numFmtId="0" fontId="2" fillId="4" borderId="4" xfId="0" applyFont="1" applyFill="1" applyBorder="1" applyProtection="1"/>
    <xf numFmtId="0" fontId="0" fillId="4" borderId="0" xfId="0" applyFill="1" applyBorder="1" applyProtection="1"/>
    <xf numFmtId="0" fontId="0" fillId="4" borderId="5" xfId="0" applyFill="1" applyBorder="1" applyProtection="1"/>
    <xf numFmtId="0" fontId="0" fillId="4" borderId="4" xfId="0" applyFill="1" applyBorder="1" applyProtection="1"/>
    <xf numFmtId="0" fontId="0" fillId="4" borderId="0" xfId="0" applyFont="1" applyFill="1" applyBorder="1" applyAlignment="1" applyProtection="1">
      <alignment horizontal="center"/>
    </xf>
    <xf numFmtId="0" fontId="0" fillId="4" borderId="5" xfId="0" applyFont="1" applyFill="1" applyBorder="1" applyAlignment="1" applyProtection="1">
      <alignment horizontal="center"/>
    </xf>
    <xf numFmtId="165" fontId="0" fillId="4" borderId="5" xfId="1" applyNumberFormat="1" applyFont="1" applyFill="1" applyBorder="1" applyAlignment="1" applyProtection="1">
      <alignment horizontal="center"/>
    </xf>
    <xf numFmtId="10" fontId="0" fillId="4" borderId="0" xfId="0" applyNumberFormat="1" applyFill="1" applyBorder="1" applyAlignment="1" applyProtection="1">
      <alignment horizontal="center"/>
    </xf>
    <xf numFmtId="0" fontId="0" fillId="2" borderId="0" xfId="0" applyFill="1" applyProtection="1"/>
    <xf numFmtId="164" fontId="0" fillId="2" borderId="0" xfId="1" applyFont="1" applyFill="1" applyBorder="1" applyProtection="1"/>
    <xf numFmtId="0" fontId="0" fillId="3" borderId="0" xfId="0" applyFill="1"/>
    <xf numFmtId="164" fontId="0" fillId="3" borderId="0" xfId="1" applyFont="1" applyFill="1"/>
    <xf numFmtId="0" fontId="0" fillId="0" borderId="13" xfId="0" applyBorder="1"/>
    <xf numFmtId="10" fontId="0" fillId="0" borderId="14" xfId="0" applyNumberFormat="1" applyBorder="1"/>
    <xf numFmtId="9" fontId="0" fillId="0" borderId="14" xfId="2" applyFont="1" applyBorder="1"/>
    <xf numFmtId="167" fontId="0" fillId="0" borderId="15" xfId="0" applyNumberFormat="1" applyBorder="1"/>
    <xf numFmtId="0" fontId="0" fillId="0" borderId="16" xfId="0" applyBorder="1"/>
    <xf numFmtId="10" fontId="0" fillId="0" borderId="0" xfId="2" applyNumberFormat="1" applyFont="1" applyBorder="1"/>
    <xf numFmtId="10" fontId="0" fillId="0" borderId="0" xfId="0" applyNumberFormat="1" applyBorder="1"/>
    <xf numFmtId="9" fontId="0" fillId="0" borderId="0" xfId="2" applyFont="1" applyBorder="1"/>
    <xf numFmtId="167" fontId="0" fillId="0" borderId="17" xfId="0" applyNumberFormat="1" applyBorder="1"/>
    <xf numFmtId="167" fontId="0" fillId="0" borderId="17" xfId="2" applyNumberFormat="1" applyFont="1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9" fontId="0" fillId="0" borderId="19" xfId="2" applyFont="1" applyBorder="1"/>
    <xf numFmtId="0" fontId="0" fillId="0" borderId="20" xfId="0" applyBorder="1"/>
    <xf numFmtId="0" fontId="0" fillId="0" borderId="14" xfId="0" applyBorder="1"/>
    <xf numFmtId="0" fontId="0" fillId="0" borderId="15" xfId="0" applyBorder="1"/>
    <xf numFmtId="9" fontId="0" fillId="3" borderId="0" xfId="2" applyFont="1" applyFill="1"/>
    <xf numFmtId="0" fontId="2" fillId="0" borderId="0" xfId="0" applyFont="1"/>
    <xf numFmtId="0" fontId="0" fillId="4" borderId="0" xfId="0" applyFill="1"/>
    <xf numFmtId="0" fontId="0" fillId="4" borderId="13" xfId="0" applyFill="1" applyBorder="1"/>
    <xf numFmtId="0" fontId="0" fillId="4" borderId="14" xfId="0" applyFill="1" applyBorder="1"/>
    <xf numFmtId="166" fontId="0" fillId="4" borderId="14" xfId="1" applyNumberFormat="1" applyFont="1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0" xfId="0" applyFill="1" applyBorder="1"/>
    <xf numFmtId="166" fontId="0" fillId="4" borderId="0" xfId="1" applyNumberFormat="1" applyFont="1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3" fillId="4" borderId="0" xfId="0" applyFont="1" applyFill="1" applyBorder="1"/>
    <xf numFmtId="10" fontId="0" fillId="4" borderId="0" xfId="2" applyNumberFormat="1" applyFont="1" applyFill="1" applyBorder="1"/>
    <xf numFmtId="0" fontId="0" fillId="3" borderId="0" xfId="1" applyNumberFormat="1" applyFont="1" applyFill="1"/>
    <xf numFmtId="0" fontId="2" fillId="3" borderId="0" xfId="0" applyFont="1" applyFill="1"/>
    <xf numFmtId="164" fontId="0" fillId="4" borderId="0" xfId="0" applyNumberFormat="1" applyFill="1" applyBorder="1"/>
    <xf numFmtId="168" fontId="0" fillId="4" borderId="19" xfId="0" applyNumberFormat="1" applyFill="1" applyBorder="1"/>
    <xf numFmtId="10" fontId="0" fillId="0" borderId="0" xfId="2" applyNumberFormat="1" applyFont="1"/>
    <xf numFmtId="0" fontId="0" fillId="0" borderId="0" xfId="0" applyFill="1" applyBorder="1"/>
    <xf numFmtId="10" fontId="0" fillId="0" borderId="0" xfId="0" applyNumberFormat="1"/>
    <xf numFmtId="0" fontId="2" fillId="2" borderId="0" xfId="0" applyFont="1" applyFill="1" applyBorder="1" applyProtection="1"/>
    <xf numFmtId="10" fontId="2" fillId="4" borderId="0" xfId="0" applyNumberFormat="1" applyFont="1" applyFill="1" applyBorder="1" applyAlignment="1" applyProtection="1">
      <alignment horizontal="center"/>
    </xf>
    <xf numFmtId="165" fontId="2" fillId="4" borderId="5" xfId="1" applyNumberFormat="1" applyFont="1" applyFill="1" applyBorder="1" applyAlignment="1" applyProtection="1">
      <alignment horizontal="center"/>
    </xf>
    <xf numFmtId="10" fontId="2" fillId="2" borderId="0" xfId="0" applyNumberFormat="1" applyFont="1" applyFill="1" applyBorder="1" applyAlignment="1" applyProtection="1">
      <alignment horizontal="center"/>
    </xf>
    <xf numFmtId="0" fontId="6" fillId="2" borderId="4" xfId="0" applyFont="1" applyFill="1" applyBorder="1" applyProtection="1"/>
    <xf numFmtId="165" fontId="2" fillId="2" borderId="5" xfId="1" applyNumberFormat="1" applyFont="1" applyFill="1" applyBorder="1" applyAlignment="1" applyProtection="1">
      <alignment horizontal="center"/>
    </xf>
    <xf numFmtId="0" fontId="2" fillId="2" borderId="4" xfId="0" applyFont="1" applyFill="1" applyBorder="1" applyProtection="1"/>
    <xf numFmtId="0" fontId="3" fillId="4" borderId="4" xfId="0" applyFont="1" applyFill="1" applyBorder="1"/>
    <xf numFmtId="10" fontId="0" fillId="4" borderId="0" xfId="0" applyNumberFormat="1" applyFont="1" applyFill="1" applyBorder="1" applyAlignment="1" applyProtection="1">
      <alignment horizontal="center"/>
    </xf>
    <xf numFmtId="165" fontId="1" fillId="4" borderId="5" xfId="1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vertical="top" wrapText="1"/>
    </xf>
    <xf numFmtId="0" fontId="7" fillId="2" borderId="19" xfId="0" applyFont="1" applyFill="1" applyBorder="1" applyAlignment="1" applyProtection="1">
      <alignment vertical="top" wrapText="1"/>
    </xf>
    <xf numFmtId="0" fontId="7" fillId="2" borderId="10" xfId="0" applyFont="1" applyFill="1" applyBorder="1" applyAlignment="1" applyProtection="1">
      <alignment horizontal="left" vertical="top" wrapText="1"/>
    </xf>
    <xf numFmtId="0" fontId="7" fillId="2" borderId="11" xfId="0" applyFont="1" applyFill="1" applyBorder="1" applyAlignment="1" applyProtection="1">
      <alignment horizontal="left" vertical="top" wrapText="1"/>
    </xf>
    <xf numFmtId="0" fontId="7" fillId="2" borderId="12" xfId="0" applyFont="1" applyFill="1" applyBorder="1" applyAlignment="1" applyProtection="1">
      <alignment horizontal="left" vertical="top" wrapText="1"/>
    </xf>
    <xf numFmtId="0" fontId="0" fillId="2" borderId="6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</cellXfs>
  <cellStyles count="3">
    <cellStyle name="Komma" xfId="1" builtinId="3"/>
    <cellStyle name="Normal" xfId="0" builtinId="0"/>
    <cellStyle name="Procent" xfId="2" builtinId="5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190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tx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17A-4462-A4C1-BC677EBDB3EC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tx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17A-4462-A4C1-BC677EBDB3EC}"/>
              </c:ext>
            </c:extLst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tx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17A-4462-A4C1-BC677EBDB3EC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tx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17A-4462-A4C1-BC677EBDB3E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2520709-937A-4F00-9FDA-B0575C0CDAC2}" type="CATEGORYNAME">
                      <a:rPr lang="en-US" b="1">
                        <a:solidFill>
                          <a:schemeClr val="bg1"/>
                        </a:solidFill>
                      </a:rPr>
                      <a:pPr/>
                      <a:t>[KATEGORINAVN]</a:t>
                    </a:fld>
                    <a:r>
                      <a:rPr lang="en-US" b="1" baseline="0">
                        <a:solidFill>
                          <a:schemeClr val="bg1"/>
                        </a:solidFill>
                      </a:rPr>
                      <a:t>; </a:t>
                    </a:r>
                    <a:fld id="{2A7A559E-5828-4924-AB59-F6D6D63925F6}" type="VALUE">
                      <a:rPr lang="en-US" b="1" baseline="0">
                        <a:solidFill>
                          <a:schemeClr val="bg1"/>
                        </a:solidFill>
                      </a:rPr>
                      <a:pPr/>
                      <a:t>[VÆRDI]</a:t>
                    </a:fld>
                    <a:endParaRPr lang="en-US" b="1" baseline="0">
                      <a:solidFill>
                        <a:schemeClr val="bg1"/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17A-4462-A4C1-BC677EBDB3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Data!$T$37:$T$40</c:f>
              <c:strCache>
                <c:ptCount val="4"/>
                <c:pt idx="0">
                  <c:v>Pulje 3 Aktier</c:v>
                </c:pt>
                <c:pt idx="1">
                  <c:v>Pulje 2 Lange obl.</c:v>
                </c:pt>
                <c:pt idx="2">
                  <c:v>Pulje 4 Korte obl.</c:v>
                </c:pt>
                <c:pt idx="3">
                  <c:v>Pulje 6 Vrk. højrenteobl.</c:v>
                </c:pt>
              </c:strCache>
            </c:strRef>
          </c:cat>
          <c:val>
            <c:numRef>
              <c:f>Data!$U$37:$U$40</c:f>
              <c:numCache>
                <c:formatCode>0%</c:formatCode>
                <c:ptCount val="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7A-4462-A4C1-BC677EBDB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25</xdr:row>
      <xdr:rowOff>142876</xdr:rowOff>
    </xdr:from>
    <xdr:to>
      <xdr:col>3</xdr:col>
      <xdr:colOff>38100</xdr:colOff>
      <xdr:row>42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276225</xdr:colOff>
      <xdr:row>1</xdr:row>
      <xdr:rowOff>142411</xdr:rowOff>
    </xdr:from>
    <xdr:to>
      <xdr:col>5</xdr:col>
      <xdr:colOff>1919605</xdr:colOff>
      <xdr:row>6</xdr:row>
      <xdr:rowOff>52241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313861"/>
          <a:ext cx="1643380" cy="719455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276225</xdr:colOff>
      <xdr:row>6</xdr:row>
      <xdr:rowOff>114300</xdr:rowOff>
    </xdr:from>
    <xdr:to>
      <xdr:col>5</xdr:col>
      <xdr:colOff>2437308</xdr:colOff>
      <xdr:row>11</xdr:row>
      <xdr:rowOff>24675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1095375"/>
          <a:ext cx="2161083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B1:I44"/>
  <sheetViews>
    <sheetView tabSelected="1" zoomScaleNormal="100" workbookViewId="0">
      <selection activeCell="C4" sqref="C4"/>
    </sheetView>
  </sheetViews>
  <sheetFormatPr defaultRowHeight="12.75" x14ac:dyDescent="0.2"/>
  <cols>
    <col min="1" max="1" width="2.25" style="19" customWidth="1"/>
    <col min="2" max="2" width="39" style="19" customWidth="1"/>
    <col min="3" max="3" width="14.125" style="19" customWidth="1"/>
    <col min="4" max="4" width="11.25" style="19" bestFit="1" customWidth="1"/>
    <col min="5" max="5" width="2.5" style="19" customWidth="1"/>
    <col min="6" max="6" width="53" style="19" customWidth="1"/>
    <col min="7" max="16384" width="9" style="19"/>
  </cols>
  <sheetData>
    <row r="1" spans="2:6" ht="13.5" thickBot="1" x14ac:dyDescent="0.25"/>
    <row r="2" spans="2:6" x14ac:dyDescent="0.2">
      <c r="B2" s="5" t="s">
        <v>27</v>
      </c>
      <c r="C2" s="6"/>
      <c r="D2" s="7"/>
      <c r="F2" s="9"/>
    </row>
    <row r="3" spans="2:6" x14ac:dyDescent="0.2">
      <c r="B3" s="8"/>
      <c r="C3" s="9"/>
      <c r="D3" s="10"/>
      <c r="F3" s="9"/>
    </row>
    <row r="4" spans="2:6" x14ac:dyDescent="0.2">
      <c r="B4" s="8" t="s">
        <v>8</v>
      </c>
      <c r="C4" s="3" t="s">
        <v>15</v>
      </c>
      <c r="D4" s="10"/>
      <c r="F4" s="9"/>
    </row>
    <row r="5" spans="2:6" x14ac:dyDescent="0.2">
      <c r="B5" s="8"/>
      <c r="C5" s="9"/>
      <c r="D5" s="10"/>
      <c r="F5" s="9"/>
    </row>
    <row r="6" spans="2:6" x14ac:dyDescent="0.2">
      <c r="B6" s="8" t="s">
        <v>9</v>
      </c>
      <c r="C6" s="3"/>
      <c r="D6" s="10"/>
      <c r="F6" s="9"/>
    </row>
    <row r="7" spans="2:6" x14ac:dyDescent="0.2">
      <c r="B7" s="8"/>
      <c r="C7" s="9"/>
      <c r="D7" s="10"/>
      <c r="F7" s="9"/>
    </row>
    <row r="8" spans="2:6" x14ac:dyDescent="0.2">
      <c r="B8" s="8" t="s">
        <v>16</v>
      </c>
      <c r="C8" s="4"/>
      <c r="D8" s="10"/>
      <c r="F8" s="9"/>
    </row>
    <row r="9" spans="2:6" x14ac:dyDescent="0.2">
      <c r="B9" s="8"/>
      <c r="C9" s="9"/>
      <c r="D9" s="10"/>
      <c r="F9" s="9"/>
    </row>
    <row r="10" spans="2:6" x14ac:dyDescent="0.2">
      <c r="B10" s="8" t="s">
        <v>17</v>
      </c>
      <c r="C10" s="4"/>
      <c r="D10" s="10"/>
      <c r="F10" s="20"/>
    </row>
    <row r="11" spans="2:6" x14ac:dyDescent="0.2">
      <c r="B11" s="82" t="str">
        <f>_xlfn.IFNA(IF(VLOOKUP(C4&amp;C6,Data!B24:C26,2,FALSE)=1,"OBS! Banken yder ikke nysalg i den valgte kombination af risiko/tidshorisont, da afkastforventninger er lave ift. forvaltningsomkostningen. Som alternativ anbefales en kontantplacering. Kontakt eventuel banken på 9732 1166 ved spørgsmål.",""),"")</f>
        <v/>
      </c>
      <c r="C11" s="83"/>
      <c r="D11" s="84"/>
      <c r="F11" s="20"/>
    </row>
    <row r="12" spans="2:6" ht="12.75" customHeight="1" x14ac:dyDescent="0.2">
      <c r="B12" s="82"/>
      <c r="C12" s="83"/>
      <c r="D12" s="84"/>
      <c r="F12" s="9"/>
    </row>
    <row r="13" spans="2:6" ht="12.75" customHeight="1" x14ac:dyDescent="0.2">
      <c r="B13" s="82"/>
      <c r="C13" s="83"/>
      <c r="D13" s="84"/>
    </row>
    <row r="14" spans="2:6" x14ac:dyDescent="0.2">
      <c r="B14" s="82"/>
      <c r="C14" s="83"/>
      <c r="D14" s="84"/>
      <c r="F14" s="74"/>
    </row>
    <row r="15" spans="2:6" ht="12.75" customHeight="1" x14ac:dyDescent="0.2">
      <c r="B15" s="82"/>
      <c r="C15" s="83"/>
      <c r="D15" s="84"/>
      <c r="F15" s="74"/>
    </row>
    <row r="16" spans="2:6" x14ac:dyDescent="0.2">
      <c r="B16" s="82"/>
      <c r="C16" s="83"/>
      <c r="D16" s="84"/>
      <c r="F16" s="75"/>
    </row>
    <row r="17" spans="2:9" x14ac:dyDescent="0.2">
      <c r="B17" s="11" t="s">
        <v>36</v>
      </c>
      <c r="C17" s="12"/>
      <c r="D17" s="13"/>
      <c r="F17" s="76" t="s">
        <v>61</v>
      </c>
    </row>
    <row r="18" spans="2:9" x14ac:dyDescent="0.2">
      <c r="B18" s="14"/>
      <c r="C18" s="15" t="s">
        <v>59</v>
      </c>
      <c r="D18" s="16" t="s">
        <v>25</v>
      </c>
      <c r="F18" s="77"/>
    </row>
    <row r="19" spans="2:9" x14ac:dyDescent="0.2">
      <c r="B19" s="14"/>
      <c r="C19" s="72" t="str">
        <f>IF(SUM(C21:C25)=0,"",SUM(C21:C25))</f>
        <v/>
      </c>
      <c r="D19" s="73" t="str">
        <f>IF(D21="","",SUM(D21:D25))</f>
        <v/>
      </c>
      <c r="F19" s="77"/>
    </row>
    <row r="20" spans="2:9" x14ac:dyDescent="0.2">
      <c r="B20" s="71" t="s">
        <v>60</v>
      </c>
      <c r="C20" s="65"/>
      <c r="D20" s="66"/>
      <c r="F20" s="77"/>
    </row>
    <row r="21" spans="2:9" x14ac:dyDescent="0.2">
      <c r="B21" s="14" t="s">
        <v>22</v>
      </c>
      <c r="C21" s="18" t="str">
        <f>IF(OR(C4="vælg",C6="vælg",AND(C8="",C10="")),"",(IF((C8+Data!T30)&lt;250000,(C8+Data!T30)*0.65%,IF(AND((C8+Data!T30)&gt;=250000,(C8+Data!T30)&lt;500000),250000*0.65%+((C8+Data!T30)-250000)*0.35%,IF((C8+Data!T30)&gt;=500000,250000*0.65%+250000*0.35%+((C8+Data!T30)-500000)*0.15%))))/(C8+Data!T30))</f>
        <v/>
      </c>
      <c r="D21" s="17" t="str">
        <f>IFERROR(($C$8+$C$10*12)*C21,"")</f>
        <v/>
      </c>
      <c r="F21" s="77"/>
    </row>
    <row r="22" spans="2:9" x14ac:dyDescent="0.2">
      <c r="B22" s="14" t="s">
        <v>23</v>
      </c>
      <c r="C22" s="18" t="str">
        <f>IF(OR(C4="vælg",C6="vælg",AND(C8="",C10="")),"",_xlfn.IFNA(HLOOKUP(C4&amp;C6,Data!$I$7:$Q$102,14,FALSE),""))</f>
        <v/>
      </c>
      <c r="D22" s="17" t="str">
        <f t="shared" ref="D22:D24" si="0">IFERROR(($C$8+$C$10*12)*C22,"")</f>
        <v/>
      </c>
      <c r="F22" s="77"/>
    </row>
    <row r="23" spans="2:9" x14ac:dyDescent="0.2">
      <c r="B23" s="14" t="s">
        <v>18</v>
      </c>
      <c r="C23" s="18" t="str">
        <f>IF(OR(C4="vælg",C6="vælg",AND(C8="",C10="")),"",_xlfn.IFNA(HLOOKUP(C4&amp;C6,Data!$I$7:$Q$19,12,FALSE)+_xlfn.XLOOKUP($C$4&amp;$C$6,Data!$I$7:$Q$7,Data!$I$22:$Q$22)+_xlfn.XLOOKUP($C$4&amp;$C$6,Data!$I$7:$Q$7,Data!$I$23:$Q$23),""))</f>
        <v/>
      </c>
      <c r="D23" s="17" t="str">
        <f t="shared" si="0"/>
        <v/>
      </c>
      <c r="F23" s="77"/>
    </row>
    <row r="24" spans="2:9" x14ac:dyDescent="0.2">
      <c r="B24" s="14" t="s">
        <v>58</v>
      </c>
      <c r="C24" s="18" t="str">
        <f>IF(OR(C4="vælg",C6="vælg",AND(C8="",C10="")),"",_xlfn.XLOOKUP($C$4&amp;$C$6,Data!$I$7:$Q$7,Data!$I$21:$Q$21))</f>
        <v/>
      </c>
      <c r="D24" s="17" t="str">
        <f t="shared" si="0"/>
        <v/>
      </c>
      <c r="F24" s="77"/>
    </row>
    <row r="25" spans="2:9" x14ac:dyDescent="0.2">
      <c r="B25" s="14"/>
      <c r="C25" s="18"/>
      <c r="D25" s="17"/>
      <c r="F25" s="77"/>
    </row>
    <row r="26" spans="2:9" x14ac:dyDescent="0.2">
      <c r="B26" s="68"/>
      <c r="C26" s="67"/>
      <c r="D26" s="69"/>
      <c r="F26" s="77"/>
    </row>
    <row r="27" spans="2:9" x14ac:dyDescent="0.2">
      <c r="B27" s="70" t="s">
        <v>34</v>
      </c>
      <c r="C27" s="67"/>
      <c r="D27" s="69"/>
      <c r="F27" s="77"/>
    </row>
    <row r="28" spans="2:9" x14ac:dyDescent="0.2">
      <c r="B28" s="68"/>
      <c r="C28" s="67"/>
      <c r="D28" s="69"/>
      <c r="F28" s="77"/>
      <c r="I28" s="64"/>
    </row>
    <row r="29" spans="2:9" x14ac:dyDescent="0.2">
      <c r="B29" s="68"/>
      <c r="C29" s="67"/>
      <c r="D29" s="69"/>
      <c r="F29" s="77"/>
    </row>
    <row r="30" spans="2:9" x14ac:dyDescent="0.2">
      <c r="B30" s="68"/>
      <c r="C30" s="67"/>
      <c r="D30" s="69"/>
      <c r="F30" s="77"/>
    </row>
    <row r="31" spans="2:9" x14ac:dyDescent="0.2">
      <c r="B31" s="68"/>
      <c r="C31" s="67"/>
      <c r="D31" s="69"/>
      <c r="F31" s="77"/>
    </row>
    <row r="32" spans="2:9" x14ac:dyDescent="0.2">
      <c r="B32" s="68"/>
      <c r="C32" s="67"/>
      <c r="D32" s="69"/>
      <c r="F32" s="77"/>
    </row>
    <row r="33" spans="2:6" x14ac:dyDescent="0.2">
      <c r="B33" s="68"/>
      <c r="C33" s="67"/>
      <c r="D33" s="69"/>
      <c r="F33" s="77"/>
    </row>
    <row r="34" spans="2:6" x14ac:dyDescent="0.2">
      <c r="B34" s="8"/>
      <c r="C34" s="9"/>
      <c r="D34" s="10"/>
      <c r="F34" s="77"/>
    </row>
    <row r="35" spans="2:6" x14ac:dyDescent="0.2">
      <c r="B35" s="8"/>
      <c r="C35" s="9"/>
      <c r="D35" s="10"/>
      <c r="F35" s="77"/>
    </row>
    <row r="36" spans="2:6" x14ac:dyDescent="0.2">
      <c r="B36" s="8"/>
      <c r="C36" s="9"/>
      <c r="D36" s="10"/>
      <c r="E36" s="9"/>
      <c r="F36" s="77"/>
    </row>
    <row r="37" spans="2:6" x14ac:dyDescent="0.2">
      <c r="B37" s="8"/>
      <c r="C37" s="9"/>
      <c r="D37" s="10"/>
      <c r="E37" s="9"/>
      <c r="F37" s="77"/>
    </row>
    <row r="38" spans="2:6" x14ac:dyDescent="0.2">
      <c r="B38" s="8"/>
      <c r="C38" s="9"/>
      <c r="D38" s="10"/>
      <c r="F38" s="77"/>
    </row>
    <row r="39" spans="2:6" x14ac:dyDescent="0.2">
      <c r="B39" s="8"/>
      <c r="C39" s="9"/>
      <c r="D39" s="10"/>
      <c r="F39" s="77"/>
    </row>
    <row r="40" spans="2:6" x14ac:dyDescent="0.2">
      <c r="B40" s="8"/>
      <c r="C40" s="9"/>
      <c r="D40" s="10"/>
      <c r="F40" s="77"/>
    </row>
    <row r="41" spans="2:6" x14ac:dyDescent="0.2">
      <c r="B41" s="8"/>
      <c r="C41" s="9"/>
      <c r="D41" s="10"/>
      <c r="F41" s="77"/>
    </row>
    <row r="42" spans="2:6" ht="13.5" thickBot="1" x14ac:dyDescent="0.25">
      <c r="B42" s="79" t="s">
        <v>35</v>
      </c>
      <c r="C42" s="80"/>
      <c r="D42" s="81"/>
      <c r="F42" s="78"/>
    </row>
    <row r="43" spans="2:6" x14ac:dyDescent="0.2">
      <c r="F43" s="9"/>
    </row>
    <row r="44" spans="2:6" x14ac:dyDescent="0.2">
      <c r="F44" s="9"/>
    </row>
  </sheetData>
  <sheetProtection algorithmName="SHA-512" hashValue="NVEiOOXNChAkhkKnw99GKpc2I5TR7fQlitrxN080rfniHfQlyLBeX3LNrJ4eEwn5nYT7qE/Hcc4ltPnn3o8ChA==" saltValue="KAwUR8iUsxHPZpUaNbIq8Q==" spinCount="100000" sheet="1" selectLockedCells="1"/>
  <mergeCells count="3">
    <mergeCell ref="F17:F42"/>
    <mergeCell ref="B42:D42"/>
    <mergeCell ref="B11:D16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308BB6A-06D3-435E-AEB5-DFC50A759228}">
            <xm:f>NOT(ISERROR(SEARCH($B$11,B11)))</xm:f>
            <xm:f>$B$11</xm:f>
            <x14:dxf>
              <font>
                <color rgb="FF9C0006"/>
              </font>
            </x14:dxf>
          </x14:cfRule>
          <xm:sqref>B11:D16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Data!$B$1:$B$4</xm:f>
          </x14:formula1>
          <xm:sqref>C4</xm:sqref>
        </x14:dataValidation>
        <x14:dataValidation type="list" allowBlank="1" showInputMessage="1" showErrorMessage="1" xr:uid="{00000000-0002-0000-0000-000001000000}">
          <x14:formula1>
            <xm:f>Data!$D$1:$D$4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B1:AA42"/>
  <sheetViews>
    <sheetView workbookViewId="0">
      <selection activeCell="H13" sqref="H13"/>
    </sheetView>
  </sheetViews>
  <sheetFormatPr defaultRowHeight="12.75" x14ac:dyDescent="0.2"/>
  <cols>
    <col min="5" max="5" width="21.125" bestFit="1" customWidth="1"/>
    <col min="6" max="6" width="15.5" bestFit="1" customWidth="1"/>
    <col min="7" max="7" width="13.875" bestFit="1" customWidth="1"/>
    <col min="8" max="8" width="16.125" bestFit="1" customWidth="1"/>
    <col min="9" max="9" width="9" customWidth="1"/>
    <col min="10" max="10" width="16" bestFit="1" customWidth="1"/>
    <col min="11" max="11" width="11.5" bestFit="1" customWidth="1"/>
    <col min="12" max="16" width="9" customWidth="1"/>
    <col min="17" max="17" width="11.25" bestFit="1" customWidth="1"/>
    <col min="18" max="18" width="9" customWidth="1"/>
    <col min="20" max="20" width="16.375" customWidth="1"/>
    <col min="21" max="21" width="10.375" bestFit="1" customWidth="1"/>
    <col min="24" max="24" width="12" bestFit="1" customWidth="1"/>
  </cols>
  <sheetData>
    <row r="1" spans="2:21" x14ac:dyDescent="0.2">
      <c r="B1" t="s">
        <v>15</v>
      </c>
      <c r="D1" t="s">
        <v>15</v>
      </c>
    </row>
    <row r="2" spans="2:21" x14ac:dyDescent="0.2">
      <c r="B2" t="s">
        <v>10</v>
      </c>
      <c r="D2" t="s">
        <v>12</v>
      </c>
      <c r="K2" t="s">
        <v>54</v>
      </c>
      <c r="L2" t="s">
        <v>51</v>
      </c>
      <c r="M2" t="s">
        <v>52</v>
      </c>
      <c r="N2" t="s">
        <v>53</v>
      </c>
    </row>
    <row r="3" spans="2:21" x14ac:dyDescent="0.2">
      <c r="B3" t="s">
        <v>47</v>
      </c>
      <c r="D3" t="s">
        <v>13</v>
      </c>
      <c r="J3" t="s">
        <v>55</v>
      </c>
      <c r="K3" s="61">
        <v>5.8228570998817598E-4</v>
      </c>
      <c r="L3" s="61">
        <v>5.2631659875262103E-3</v>
      </c>
      <c r="M3" s="61">
        <v>2.3029680748466594E-4</v>
      </c>
      <c r="N3" s="61">
        <v>6.991534636104327E-3</v>
      </c>
      <c r="O3" s="61"/>
    </row>
    <row r="4" spans="2:21" x14ac:dyDescent="0.2">
      <c r="B4" t="s">
        <v>11</v>
      </c>
      <c r="D4" t="s">
        <v>14</v>
      </c>
      <c r="J4" t="s">
        <v>56</v>
      </c>
      <c r="K4" s="61">
        <v>3.2740136481729064E-4</v>
      </c>
      <c r="L4" s="61">
        <v>1.2148140792984502E-3</v>
      </c>
      <c r="M4" s="61">
        <v>1.3286354277961497E-4</v>
      </c>
      <c r="N4" s="61">
        <v>4.5739667253897609E-3</v>
      </c>
      <c r="O4" s="61"/>
    </row>
    <row r="5" spans="2:21" x14ac:dyDescent="0.2">
      <c r="J5" t="s">
        <v>57</v>
      </c>
      <c r="K5" s="61">
        <v>3.2740136481729064E-4</v>
      </c>
      <c r="L5" s="61">
        <v>1.0286319171336688E-3</v>
      </c>
      <c r="M5" s="61">
        <v>1.3286354277961497E-4</v>
      </c>
      <c r="N5" s="61">
        <v>1.3674812090850115E-2</v>
      </c>
      <c r="O5" s="61"/>
    </row>
    <row r="7" spans="2:21" x14ac:dyDescent="0.2">
      <c r="F7" t="s">
        <v>23</v>
      </c>
      <c r="G7" t="s">
        <v>6</v>
      </c>
      <c r="H7" t="s">
        <v>21</v>
      </c>
      <c r="I7" t="s">
        <v>28</v>
      </c>
      <c r="J7" t="s">
        <v>29</v>
      </c>
      <c r="K7" t="s">
        <v>30</v>
      </c>
      <c r="L7" t="s">
        <v>48</v>
      </c>
      <c r="M7" t="s">
        <v>49</v>
      </c>
      <c r="N7" t="s">
        <v>50</v>
      </c>
      <c r="O7" t="s">
        <v>31</v>
      </c>
      <c r="P7" t="s">
        <v>32</v>
      </c>
      <c r="Q7" t="s">
        <v>33</v>
      </c>
      <c r="R7" t="s">
        <v>37</v>
      </c>
      <c r="S7" t="s">
        <v>55</v>
      </c>
      <c r="T7" t="s">
        <v>56</v>
      </c>
      <c r="U7" t="s">
        <v>57</v>
      </c>
    </row>
    <row r="9" spans="2:21" x14ac:dyDescent="0.2">
      <c r="B9" s="61"/>
      <c r="C9" s="61"/>
      <c r="E9" s="23" t="s">
        <v>0</v>
      </c>
      <c r="F9" s="24">
        <v>1E-3</v>
      </c>
      <c r="G9" s="24">
        <v>0</v>
      </c>
      <c r="H9" s="24">
        <v>0</v>
      </c>
      <c r="I9" s="25"/>
      <c r="J9" s="25"/>
      <c r="K9" s="25"/>
      <c r="L9" s="25"/>
      <c r="M9" s="25"/>
      <c r="N9" s="25"/>
      <c r="O9" s="25"/>
      <c r="P9" s="25"/>
      <c r="Q9" s="25"/>
      <c r="R9" s="26">
        <v>-4.2137499999999996E-3</v>
      </c>
      <c r="S9" s="61"/>
    </row>
    <row r="10" spans="2:21" x14ac:dyDescent="0.2">
      <c r="B10" s="61"/>
      <c r="C10" s="61"/>
      <c r="E10" s="27" t="s">
        <v>1</v>
      </c>
      <c r="F10" s="28">
        <v>1E-3</v>
      </c>
      <c r="G10" s="28">
        <v>7.7860805781123797E-4</v>
      </c>
      <c r="H10" s="29">
        <v>3.1E-4</v>
      </c>
      <c r="I10" s="30"/>
      <c r="J10" s="30">
        <v>0.2</v>
      </c>
      <c r="K10" s="30">
        <v>0.4</v>
      </c>
      <c r="L10" s="30"/>
      <c r="M10" s="30">
        <v>0.2</v>
      </c>
      <c r="N10" s="30">
        <v>0.35</v>
      </c>
      <c r="O10" s="30"/>
      <c r="P10" s="30">
        <v>0.35</v>
      </c>
      <c r="Q10" s="30">
        <v>0.05</v>
      </c>
      <c r="R10" s="31">
        <v>2.9475E-3</v>
      </c>
      <c r="S10" s="61">
        <f>K3</f>
        <v>5.8228570998817598E-4</v>
      </c>
      <c r="T10" s="61">
        <f>K4/7</f>
        <v>4.6771623545327232E-5</v>
      </c>
      <c r="U10" s="61">
        <f>K5/7</f>
        <v>4.6771623545327232E-5</v>
      </c>
    </row>
    <row r="11" spans="2:21" x14ac:dyDescent="0.2">
      <c r="B11" s="61"/>
      <c r="C11" s="61"/>
      <c r="E11" s="27" t="s">
        <v>2</v>
      </c>
      <c r="F11" s="28">
        <v>6.4999999999999997E-3</v>
      </c>
      <c r="G11" s="28">
        <v>5.7801112565709417E-3</v>
      </c>
      <c r="H11" s="29">
        <v>2.5567208010742288E-3</v>
      </c>
      <c r="I11" s="30"/>
      <c r="J11" s="30">
        <v>0.1</v>
      </c>
      <c r="K11" s="30">
        <v>0.25</v>
      </c>
      <c r="L11" s="30">
        <v>0.15</v>
      </c>
      <c r="M11" s="30">
        <v>0.25</v>
      </c>
      <c r="N11" s="30">
        <v>0.5</v>
      </c>
      <c r="O11" s="30">
        <v>0.25</v>
      </c>
      <c r="P11" s="30">
        <v>0.5</v>
      </c>
      <c r="Q11" s="30">
        <v>0.75</v>
      </c>
      <c r="R11" s="31">
        <v>5.4706249999999998E-2</v>
      </c>
      <c r="S11" s="61">
        <f>L3</f>
        <v>5.2631659875262103E-3</v>
      </c>
      <c r="T11" s="61">
        <f>L4/7</f>
        <v>1.7354486847120717E-4</v>
      </c>
      <c r="U11" s="61">
        <f>L5/7</f>
        <v>1.4694741673338126E-4</v>
      </c>
    </row>
    <row r="12" spans="2:21" x14ac:dyDescent="0.2">
      <c r="B12" s="61"/>
      <c r="C12" s="61"/>
      <c r="E12" s="27" t="s">
        <v>3</v>
      </c>
      <c r="F12" s="28">
        <v>0</v>
      </c>
      <c r="G12" s="28">
        <v>2.7239877475815951E-4</v>
      </c>
      <c r="H12" s="29">
        <v>6.8969791452082047E-4</v>
      </c>
      <c r="I12" s="30">
        <v>0.8</v>
      </c>
      <c r="J12" s="30">
        <v>0.55000000000000004</v>
      </c>
      <c r="K12" s="30">
        <v>0.2</v>
      </c>
      <c r="L12" s="30">
        <v>0.55000000000000004</v>
      </c>
      <c r="M12" s="30">
        <v>0.2</v>
      </c>
      <c r="N12" s="30"/>
      <c r="O12" s="30">
        <v>0.4</v>
      </c>
      <c r="P12" s="30"/>
      <c r="Q12" s="30"/>
      <c r="R12" s="31">
        <v>2.9790000000000003E-3</v>
      </c>
      <c r="S12" s="61">
        <f>M3</f>
        <v>2.3029680748466594E-4</v>
      </c>
      <c r="T12" s="61">
        <f>M4/7</f>
        <v>1.8980506111373569E-5</v>
      </c>
      <c r="U12" s="61">
        <f>M5/7</f>
        <v>1.8980506111373569E-5</v>
      </c>
    </row>
    <row r="13" spans="2:21" x14ac:dyDescent="0.2">
      <c r="B13" s="61"/>
      <c r="C13" s="61"/>
      <c r="E13" s="27" t="s">
        <v>4</v>
      </c>
      <c r="F13" s="28">
        <v>2.5000000000000001E-3</v>
      </c>
      <c r="G13" s="28">
        <v>1.0956869004922598E-2</v>
      </c>
      <c r="H13" s="29">
        <v>1.1122479139562215E-3</v>
      </c>
      <c r="I13" s="30">
        <v>0.2</v>
      </c>
      <c r="J13" s="30">
        <v>0.15</v>
      </c>
      <c r="K13" s="30">
        <v>0.15</v>
      </c>
      <c r="L13" s="30">
        <v>0.3</v>
      </c>
      <c r="M13" s="30">
        <v>0.35</v>
      </c>
      <c r="N13" s="30">
        <v>0.15</v>
      </c>
      <c r="O13" s="30">
        <v>0.35</v>
      </c>
      <c r="P13" s="30">
        <v>0.15</v>
      </c>
      <c r="Q13" s="30">
        <v>0.2</v>
      </c>
      <c r="R13" s="32">
        <v>2.333638E-2</v>
      </c>
      <c r="S13" s="61">
        <f>N3</f>
        <v>6.991534636104327E-3</v>
      </c>
      <c r="T13" s="61">
        <f>N4/7</f>
        <v>6.5342381791282295E-4</v>
      </c>
      <c r="U13" s="61">
        <f>N5/7</f>
        <v>1.9535445844071592E-3</v>
      </c>
    </row>
    <row r="14" spans="2:21" x14ac:dyDescent="0.2">
      <c r="B14" s="61"/>
      <c r="C14" s="61"/>
      <c r="D14" s="61"/>
      <c r="E14" s="27" t="s">
        <v>5</v>
      </c>
      <c r="F14" s="28">
        <v>5.4999999999999997E-3</v>
      </c>
      <c r="G14" s="28">
        <v>0</v>
      </c>
      <c r="H14" s="29">
        <v>0</v>
      </c>
      <c r="I14" s="30"/>
      <c r="J14" s="30"/>
      <c r="K14" s="30"/>
      <c r="L14" s="30"/>
      <c r="M14" s="30"/>
      <c r="N14" s="30"/>
      <c r="O14" s="30"/>
      <c r="P14" s="30"/>
      <c r="Q14" s="30"/>
      <c r="R14" s="32">
        <v>3.1904300000000003E-2</v>
      </c>
      <c r="T14" s="61"/>
    </row>
    <row r="15" spans="2:21" x14ac:dyDescent="0.2">
      <c r="E15" s="27"/>
      <c r="F15" s="33"/>
      <c r="G15" s="33"/>
      <c r="H15" s="33"/>
      <c r="I15" s="30"/>
      <c r="J15" s="30"/>
      <c r="K15" s="30"/>
      <c r="L15" s="30"/>
      <c r="M15" s="30"/>
      <c r="N15" s="30"/>
      <c r="O15" s="30"/>
      <c r="P15" s="30"/>
      <c r="Q15" s="30"/>
      <c r="R15" s="34"/>
    </row>
    <row r="16" spans="2:21" x14ac:dyDescent="0.2">
      <c r="E16" s="35" t="s">
        <v>20</v>
      </c>
      <c r="F16" s="36"/>
      <c r="G16" s="36"/>
      <c r="H16" s="36"/>
      <c r="I16" s="37">
        <f t="shared" ref="I16:Q16" si="0">SUM(I9:I14)</f>
        <v>1</v>
      </c>
      <c r="J16" s="37">
        <f t="shared" si="0"/>
        <v>1</v>
      </c>
      <c r="K16" s="37">
        <f t="shared" si="0"/>
        <v>1</v>
      </c>
      <c r="L16" s="37">
        <f t="shared" si="0"/>
        <v>1</v>
      </c>
      <c r="M16" s="37">
        <f t="shared" si="0"/>
        <v>1</v>
      </c>
      <c r="N16" s="37">
        <f t="shared" si="0"/>
        <v>1</v>
      </c>
      <c r="O16" s="37">
        <f t="shared" si="0"/>
        <v>1</v>
      </c>
      <c r="P16" s="37">
        <f t="shared" si="0"/>
        <v>1</v>
      </c>
      <c r="Q16" s="37">
        <f t="shared" si="0"/>
        <v>1</v>
      </c>
      <c r="R16" s="38"/>
    </row>
    <row r="17" spans="2:27" x14ac:dyDescent="0.2">
      <c r="E17" s="23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</row>
    <row r="18" spans="2:27" x14ac:dyDescent="0.2">
      <c r="E18" s="27"/>
      <c r="F18" s="33"/>
      <c r="G18" s="33"/>
      <c r="H18" s="33" t="s">
        <v>7</v>
      </c>
      <c r="I18" s="28">
        <f>SUMPRODUCT(I9:I14,$H$9:$H$14)</f>
        <v>7.742079144079007E-4</v>
      </c>
      <c r="J18" s="28">
        <f t="shared" ref="J18:Q18" si="1">SUMPRODUCT(J9:J14,$H$9:$H$14)</f>
        <v>8.6384312018730736E-4</v>
      </c>
      <c r="K18" s="28">
        <f t="shared" si="1"/>
        <v>1.0679569702661544E-3</v>
      </c>
      <c r="L18" s="28">
        <f t="shared" si="1"/>
        <v>1.0965163473344521E-3</v>
      </c>
      <c r="M18" s="28">
        <f t="shared" si="1"/>
        <v>1.2284065530573987E-3</v>
      </c>
      <c r="N18" s="28">
        <f t="shared" si="1"/>
        <v>1.5536975876305477E-3</v>
      </c>
      <c r="O18" s="28">
        <f t="shared" si="1"/>
        <v>1.3043461359615628E-3</v>
      </c>
      <c r="P18" s="28">
        <f t="shared" si="1"/>
        <v>1.5536975876305477E-3</v>
      </c>
      <c r="Q18" s="28">
        <f t="shared" si="1"/>
        <v>2.1554901835969158E-3</v>
      </c>
      <c r="R18" s="34"/>
    </row>
    <row r="19" spans="2:27" x14ac:dyDescent="0.2">
      <c r="E19" s="27"/>
      <c r="F19" s="33"/>
      <c r="G19" s="33"/>
      <c r="H19" s="33" t="s">
        <v>6</v>
      </c>
      <c r="I19" s="28">
        <f t="shared" ref="I19:Q19" si="2">SUMPRODUCT(I9:I14,$G$9:$G$14)</f>
        <v>2.4092928207910471E-3</v>
      </c>
      <c r="J19" s="28">
        <f t="shared" si="2"/>
        <v>2.5270824140747193E-3</v>
      </c>
      <c r="K19" s="28">
        <f t="shared" si="2"/>
        <v>3.4544811429572525E-3</v>
      </c>
      <c r="L19" s="28">
        <f t="shared" si="2"/>
        <v>4.3038967160794082E-3</v>
      </c>
      <c r="M19" s="28">
        <f t="shared" si="2"/>
        <v>5.4901333323795244E-3</v>
      </c>
      <c r="N19" s="28">
        <f t="shared" si="2"/>
        <v>4.8060987992577936E-3</v>
      </c>
      <c r="O19" s="28">
        <f t="shared" si="2"/>
        <v>5.3888914757689085E-3</v>
      </c>
      <c r="P19" s="28">
        <f t="shared" si="2"/>
        <v>4.8060987992577936E-3</v>
      </c>
      <c r="Q19" s="28">
        <f t="shared" si="2"/>
        <v>6.5653876463032876E-3</v>
      </c>
      <c r="R19" s="34"/>
    </row>
    <row r="20" spans="2:27" x14ac:dyDescent="0.2">
      <c r="E20" s="27"/>
      <c r="F20" s="33"/>
      <c r="G20" s="33"/>
      <c r="H20" s="33" t="s">
        <v>24</v>
      </c>
      <c r="I20" s="28">
        <f t="shared" ref="I20:Q20" si="3">SUMPRODUCT(I9:I14,$F$9:$F$14)</f>
        <v>5.0000000000000001E-4</v>
      </c>
      <c r="J20" s="28">
        <f t="shared" si="3"/>
        <v>1.225E-3</v>
      </c>
      <c r="K20" s="28">
        <f t="shared" si="3"/>
        <v>2.3999999999999998E-3</v>
      </c>
      <c r="L20" s="28">
        <f t="shared" si="3"/>
        <v>1.725E-3</v>
      </c>
      <c r="M20" s="28">
        <f t="shared" si="3"/>
        <v>2.7000000000000001E-3</v>
      </c>
      <c r="N20" s="28">
        <f t="shared" si="3"/>
        <v>3.9750000000000002E-3</v>
      </c>
      <c r="O20" s="28">
        <f t="shared" si="3"/>
        <v>2.4999999999999996E-3</v>
      </c>
      <c r="P20" s="28">
        <f t="shared" si="3"/>
        <v>3.9750000000000002E-3</v>
      </c>
      <c r="Q20" s="28">
        <f t="shared" si="3"/>
        <v>5.4249999999999993E-3</v>
      </c>
      <c r="R20" s="34"/>
    </row>
    <row r="21" spans="2:27" x14ac:dyDescent="0.2">
      <c r="E21" s="33"/>
      <c r="F21" s="33"/>
      <c r="G21" s="33"/>
      <c r="H21" s="62" t="s">
        <v>55</v>
      </c>
      <c r="I21" s="28">
        <f>SUMPRODUCT(I9:I14,$S$9:$S$14)</f>
        <v>1.5825443732085981E-3</v>
      </c>
      <c r="J21" s="28">
        <f t="shared" ref="J21:Q21" si="4">SUMPRODUCT(J9:J14,$S$9:$S$14)</f>
        <v>1.8181671802824716E-3</v>
      </c>
      <c r="K21" s="28">
        <f t="shared" si="4"/>
        <v>2.643495337789405E-3</v>
      </c>
      <c r="L21" s="28">
        <f t="shared" si="4"/>
        <v>3.013598533076796E-3</v>
      </c>
      <c r="M21" s="28">
        <f t="shared" si="4"/>
        <v>3.925345123012635E-3</v>
      </c>
      <c r="N21" s="28">
        <f t="shared" si="4"/>
        <v>3.8841131876746161E-3</v>
      </c>
      <c r="O21" s="28">
        <f t="shared" si="4"/>
        <v>3.8549473425119329E-3</v>
      </c>
      <c r="P21" s="28">
        <f t="shared" si="4"/>
        <v>3.8841131876746161E-3</v>
      </c>
      <c r="Q21" s="28">
        <f t="shared" si="4"/>
        <v>5.3747957033649322E-3</v>
      </c>
      <c r="R21" s="33"/>
    </row>
    <row r="22" spans="2:27" x14ac:dyDescent="0.2">
      <c r="E22" s="33"/>
      <c r="F22" s="33"/>
      <c r="G22" s="33"/>
      <c r="H22" s="33" t="s">
        <v>56</v>
      </c>
      <c r="I22" s="28">
        <f>SUMPRODUCT(I9:I14,$T$9:$T$14)</f>
        <v>1.4586916847166345E-4</v>
      </c>
      <c r="J22" s="28">
        <f t="shared" ref="J22:Q22" si="5">SUMPRODUCT(J9:J14,$T$9:$T$14)</f>
        <v>1.3516166260436506E-4</v>
      </c>
      <c r="K22" s="28">
        <f t="shared" si="5"/>
        <v>1.6390454044513085E-4</v>
      </c>
      <c r="L22" s="28">
        <f t="shared" si="5"/>
        <v>2.3249815400578342E-4</v>
      </c>
      <c r="M22" s="28">
        <f t="shared" si="5"/>
        <v>2.8523497931862997E-4</v>
      </c>
      <c r="N22" s="28">
        <f t="shared" si="5"/>
        <v>2.0115607516339154E-4</v>
      </c>
      <c r="O22" s="28">
        <f t="shared" si="5"/>
        <v>2.7967675583183925E-4</v>
      </c>
      <c r="P22" s="28">
        <f t="shared" si="5"/>
        <v>2.0115607516339154E-4</v>
      </c>
      <c r="Q22" s="28">
        <f t="shared" si="5"/>
        <v>2.6318199611323636E-4</v>
      </c>
      <c r="R22" s="33"/>
    </row>
    <row r="23" spans="2:27" x14ac:dyDescent="0.2">
      <c r="B23" s="58" t="s">
        <v>45</v>
      </c>
      <c r="C23" s="21"/>
      <c r="H23" t="s">
        <v>57</v>
      </c>
      <c r="I23" s="28">
        <f>SUMPRODUCT(I9:I14,$U$9:$U$14)</f>
        <v>4.0589332177053074E-4</v>
      </c>
      <c r="J23" s="28">
        <f t="shared" ref="J23:Q23" si="6">SUMPRODUCT(J9:J14,$U$9:$U$14)</f>
        <v>3.275200324047329E-4</v>
      </c>
      <c r="K23" s="28">
        <f t="shared" si="6"/>
        <v>3.5227329248482483E-4</v>
      </c>
      <c r="L23" s="28">
        <f t="shared" si="6"/>
        <v>6.1854476619341043E-4</v>
      </c>
      <c r="M23" s="28">
        <f t="shared" si="6"/>
        <v>7.3362788465719108E-4</v>
      </c>
      <c r="N23" s="28">
        <f t="shared" si="6"/>
        <v>3.8287546426862904E-4</v>
      </c>
      <c r="O23" s="28">
        <f t="shared" si="6"/>
        <v>7.2806966117040036E-4</v>
      </c>
      <c r="P23" s="28">
        <f t="shared" si="6"/>
        <v>3.8287546426862904E-4</v>
      </c>
      <c r="Q23" s="28">
        <f t="shared" si="6"/>
        <v>5.032580606087342E-4</v>
      </c>
    </row>
    <row r="24" spans="2:27" x14ac:dyDescent="0.2">
      <c r="B24" s="21" t="s">
        <v>28</v>
      </c>
      <c r="C24" s="21">
        <v>1</v>
      </c>
      <c r="I24" s="63">
        <f t="shared" ref="I24:P24" si="7">SUM(I21:I23)</f>
        <v>2.1343068634507925E-3</v>
      </c>
      <c r="J24" s="63">
        <f t="shared" si="7"/>
        <v>2.2808488752915695E-3</v>
      </c>
      <c r="K24" s="63">
        <f t="shared" si="7"/>
        <v>3.1596731707193605E-3</v>
      </c>
      <c r="L24" s="63">
        <f t="shared" si="7"/>
        <v>3.8646414532759899E-3</v>
      </c>
      <c r="M24" s="63">
        <f t="shared" si="7"/>
        <v>4.9442079869884562E-3</v>
      </c>
      <c r="N24" s="63">
        <f t="shared" si="7"/>
        <v>4.4681447271066365E-3</v>
      </c>
      <c r="O24" s="63">
        <f t="shared" si="7"/>
        <v>4.8626937595141724E-3</v>
      </c>
      <c r="P24" s="63">
        <f t="shared" si="7"/>
        <v>4.4681447271066365E-3</v>
      </c>
      <c r="Q24" s="63">
        <f>SUM(Q21:Q23)</f>
        <v>6.1412357600869032E-3</v>
      </c>
    </row>
    <row r="25" spans="2:27" x14ac:dyDescent="0.2">
      <c r="B25" s="21" t="s">
        <v>29</v>
      </c>
      <c r="C25" s="21">
        <v>1</v>
      </c>
      <c r="E25" s="43" t="s">
        <v>39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2:27" x14ac:dyDescent="0.2">
      <c r="B26" s="21" t="s">
        <v>48</v>
      </c>
      <c r="C26" s="21">
        <v>1</v>
      </c>
      <c r="E26" s="44" t="s">
        <v>0</v>
      </c>
      <c r="F26" s="45"/>
      <c r="G26" s="45"/>
      <c r="H26" s="45"/>
      <c r="I26" s="46">
        <f t="shared" ref="I26:Q26" si="8">+I9*100*$R9+I9*100</f>
        <v>0</v>
      </c>
      <c r="J26" s="46">
        <f t="shared" si="8"/>
        <v>0</v>
      </c>
      <c r="K26" s="46">
        <f t="shared" si="8"/>
        <v>0</v>
      </c>
      <c r="L26" s="46">
        <f t="shared" si="8"/>
        <v>0</v>
      </c>
      <c r="M26" s="46">
        <f t="shared" si="8"/>
        <v>0</v>
      </c>
      <c r="N26" s="46">
        <f t="shared" si="8"/>
        <v>0</v>
      </c>
      <c r="O26" s="46">
        <f t="shared" si="8"/>
        <v>0</v>
      </c>
      <c r="P26" s="46">
        <f t="shared" si="8"/>
        <v>0</v>
      </c>
      <c r="Q26" s="46">
        <f t="shared" si="8"/>
        <v>0</v>
      </c>
      <c r="R26" s="47"/>
    </row>
    <row r="27" spans="2:27" x14ac:dyDescent="0.2">
      <c r="E27" s="48" t="s">
        <v>1</v>
      </c>
      <c r="F27" s="49"/>
      <c r="G27" s="49"/>
      <c r="H27" s="49"/>
      <c r="I27" s="50">
        <f t="shared" ref="I27:P27" si="9">+I10*100*$R10+I10*100</f>
        <v>0</v>
      </c>
      <c r="J27" s="50">
        <f t="shared" si="9"/>
        <v>20.058949999999999</v>
      </c>
      <c r="K27" s="50">
        <f t="shared" si="9"/>
        <v>40.117899999999999</v>
      </c>
      <c r="L27" s="50">
        <f t="shared" si="9"/>
        <v>0</v>
      </c>
      <c r="M27" s="50">
        <f t="shared" si="9"/>
        <v>20.058949999999999</v>
      </c>
      <c r="N27" s="50">
        <f t="shared" si="9"/>
        <v>35.103162500000003</v>
      </c>
      <c r="O27" s="50">
        <f t="shared" si="9"/>
        <v>0</v>
      </c>
      <c r="P27" s="50">
        <f t="shared" si="9"/>
        <v>35.103162500000003</v>
      </c>
      <c r="Q27" s="50">
        <f>+Q10*100*$R10+Q10*100</f>
        <v>5.0147374999999998</v>
      </c>
      <c r="R27" s="51"/>
      <c r="T27" s="21" t="s">
        <v>40</v>
      </c>
      <c r="U27" s="21"/>
      <c r="V27" s="21"/>
      <c r="W27" s="21"/>
      <c r="X27" s="21"/>
      <c r="Y27" s="21"/>
      <c r="Z27" s="21"/>
      <c r="AA27" s="21"/>
    </row>
    <row r="28" spans="2:27" x14ac:dyDescent="0.2">
      <c r="E28" s="48" t="s">
        <v>2</v>
      </c>
      <c r="F28" s="49"/>
      <c r="G28" s="49"/>
      <c r="H28" s="49"/>
      <c r="I28" s="50">
        <f t="shared" ref="I28:P28" si="10">+I11*100*$R11+I11*100</f>
        <v>0</v>
      </c>
      <c r="J28" s="50">
        <f t="shared" si="10"/>
        <v>10.547062499999999</v>
      </c>
      <c r="K28" s="50">
        <f t="shared" si="10"/>
        <v>26.36765625</v>
      </c>
      <c r="L28" s="50">
        <f t="shared" si="10"/>
        <v>15.82059375</v>
      </c>
      <c r="M28" s="50">
        <f t="shared" si="10"/>
        <v>26.36765625</v>
      </c>
      <c r="N28" s="50">
        <f t="shared" si="10"/>
        <v>52.735312499999999</v>
      </c>
      <c r="O28" s="50">
        <f t="shared" si="10"/>
        <v>26.36765625</v>
      </c>
      <c r="P28" s="50">
        <f t="shared" si="10"/>
        <v>52.735312499999999</v>
      </c>
      <c r="Q28" s="50">
        <f>+Q11*100*$R11+Q11*100</f>
        <v>79.102968750000002</v>
      </c>
      <c r="R28" s="51"/>
      <c r="T28" s="21"/>
      <c r="U28" s="21"/>
      <c r="V28" s="21"/>
      <c r="W28" s="21"/>
      <c r="X28" s="21"/>
      <c r="Y28" s="21"/>
      <c r="Z28" s="21"/>
      <c r="AA28" s="21"/>
    </row>
    <row r="29" spans="2:27" x14ac:dyDescent="0.2">
      <c r="E29" s="48" t="s">
        <v>3</v>
      </c>
      <c r="F29" s="49"/>
      <c r="G29" s="49"/>
      <c r="H29" s="49"/>
      <c r="I29" s="50">
        <f t="shared" ref="I29:Q29" si="11">+I12*100*$R12+I12*100</f>
        <v>80.238320000000002</v>
      </c>
      <c r="J29" s="50">
        <f t="shared" si="11"/>
        <v>55.163845000000009</v>
      </c>
      <c r="K29" s="50">
        <f t="shared" si="11"/>
        <v>20.05958</v>
      </c>
      <c r="L29" s="50">
        <f t="shared" si="11"/>
        <v>55.163845000000009</v>
      </c>
      <c r="M29" s="50">
        <f t="shared" si="11"/>
        <v>20.05958</v>
      </c>
      <c r="N29" s="50">
        <f t="shared" si="11"/>
        <v>0</v>
      </c>
      <c r="O29" s="50">
        <f t="shared" si="11"/>
        <v>40.119160000000001</v>
      </c>
      <c r="P29" s="50">
        <f t="shared" si="11"/>
        <v>0</v>
      </c>
      <c r="Q29" s="50">
        <f t="shared" si="11"/>
        <v>0</v>
      </c>
      <c r="R29" s="51"/>
      <c r="T29" s="21"/>
      <c r="U29" s="21" t="s">
        <v>26</v>
      </c>
      <c r="V29" s="21"/>
      <c r="W29" s="21" t="s">
        <v>22</v>
      </c>
      <c r="X29" s="21" t="s">
        <v>23</v>
      </c>
      <c r="Y29" s="21" t="s">
        <v>19</v>
      </c>
      <c r="Z29" s="21" t="s">
        <v>18</v>
      </c>
      <c r="AA29" s="21"/>
    </row>
    <row r="30" spans="2:27" x14ac:dyDescent="0.2">
      <c r="E30" s="48" t="s">
        <v>4</v>
      </c>
      <c r="F30" s="49"/>
      <c r="G30" s="49"/>
      <c r="H30" s="49"/>
      <c r="I30" s="50">
        <f t="shared" ref="I30:Q30" si="12">+I13*100*$R13+I13*100</f>
        <v>20.466727599999999</v>
      </c>
      <c r="J30" s="50">
        <f t="shared" si="12"/>
        <v>15.350045700000001</v>
      </c>
      <c r="K30" s="50">
        <f t="shared" si="12"/>
        <v>15.350045700000001</v>
      </c>
      <c r="L30" s="50">
        <f t="shared" si="12"/>
        <v>30.700091400000002</v>
      </c>
      <c r="M30" s="50">
        <f t="shared" si="12"/>
        <v>35.816773300000001</v>
      </c>
      <c r="N30" s="50">
        <f t="shared" si="12"/>
        <v>15.350045700000001</v>
      </c>
      <c r="O30" s="50">
        <f t="shared" si="12"/>
        <v>35.816773300000001</v>
      </c>
      <c r="P30" s="50">
        <f t="shared" si="12"/>
        <v>15.350045700000001</v>
      </c>
      <c r="Q30" s="50">
        <f t="shared" si="12"/>
        <v>20.466727599999999</v>
      </c>
      <c r="R30" s="51"/>
      <c r="T30" s="22">
        <f>+'ÅOP ÅOK'!C10*12</f>
        <v>0</v>
      </c>
      <c r="U30" s="22" t="e">
        <f>SUM(W30:Z30)</f>
        <v>#VALUE!</v>
      </c>
      <c r="V30" s="21"/>
      <c r="W30" s="57" t="e">
        <f>'ÅOP ÅOK'!$C$21*Data!T30</f>
        <v>#VALUE!</v>
      </c>
      <c r="X30" s="22" t="e">
        <f>+'ÅOP ÅOK'!#REF!*Data!T30</f>
        <v>#REF!</v>
      </c>
      <c r="Y30" s="22" t="e">
        <f>+'ÅOP ÅOK'!#REF!*Data!T30</f>
        <v>#REF!</v>
      </c>
      <c r="Z30" s="22" t="e">
        <f>+'ÅOP ÅOK'!$C$23*Data!T30</f>
        <v>#VALUE!</v>
      </c>
      <c r="AA30" s="21"/>
    </row>
    <row r="31" spans="2:27" x14ac:dyDescent="0.2">
      <c r="E31" s="48" t="s">
        <v>5</v>
      </c>
      <c r="F31" s="49"/>
      <c r="G31" s="49"/>
      <c r="H31" s="49"/>
      <c r="I31" s="50">
        <f t="shared" ref="I31:Q31" si="13">+I14*100*$R14+I14*100</f>
        <v>0</v>
      </c>
      <c r="J31" s="50">
        <f t="shared" si="13"/>
        <v>0</v>
      </c>
      <c r="K31" s="50">
        <f t="shared" si="13"/>
        <v>0</v>
      </c>
      <c r="L31" s="50">
        <f t="shared" si="13"/>
        <v>0</v>
      </c>
      <c r="M31" s="50">
        <f t="shared" si="13"/>
        <v>0</v>
      </c>
      <c r="N31" s="50">
        <f t="shared" si="13"/>
        <v>0</v>
      </c>
      <c r="O31" s="50">
        <f t="shared" si="13"/>
        <v>0</v>
      </c>
      <c r="P31" s="50">
        <f t="shared" si="13"/>
        <v>0</v>
      </c>
      <c r="Q31" s="50">
        <f t="shared" si="13"/>
        <v>0</v>
      </c>
      <c r="R31" s="51"/>
      <c r="T31" s="1"/>
      <c r="U31" s="1"/>
      <c r="X31" s="2"/>
    </row>
    <row r="32" spans="2:27" x14ac:dyDescent="0.2">
      <c r="E32" s="48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51"/>
      <c r="T32" s="1"/>
      <c r="U32" s="1"/>
      <c r="X32" s="2"/>
    </row>
    <row r="33" spans="4:25" x14ac:dyDescent="0.2">
      <c r="E33" s="48" t="s">
        <v>38</v>
      </c>
      <c r="F33" s="49"/>
      <c r="G33" s="49"/>
      <c r="H33" s="49"/>
      <c r="I33" s="59">
        <f>SUM(I26:I31)</f>
        <v>100.7050476</v>
      </c>
      <c r="J33" s="59">
        <f t="shared" ref="J33:P33" si="14">SUM(J26:J31)</f>
        <v>101.1199032</v>
      </c>
      <c r="K33" s="59">
        <f t="shared" si="14"/>
        <v>101.89518194999999</v>
      </c>
      <c r="L33" s="59">
        <f t="shared" si="14"/>
        <v>101.68453015000001</v>
      </c>
      <c r="M33" s="59">
        <f t="shared" si="14"/>
        <v>102.30295955</v>
      </c>
      <c r="N33" s="59">
        <f t="shared" si="14"/>
        <v>103.1885207</v>
      </c>
      <c r="O33" s="59">
        <f t="shared" si="14"/>
        <v>102.30358955</v>
      </c>
      <c r="P33" s="59">
        <f t="shared" si="14"/>
        <v>103.1885207</v>
      </c>
      <c r="Q33" s="59">
        <f>SUM(Q26:Q31)</f>
        <v>104.58443385</v>
      </c>
      <c r="R33" s="51"/>
      <c r="T33" s="1"/>
      <c r="U33" s="1"/>
      <c r="X33" s="2"/>
    </row>
    <row r="34" spans="4:25" x14ac:dyDescent="0.2">
      <c r="D34" s="33"/>
      <c r="E34" s="48"/>
      <c r="F34" s="49"/>
      <c r="G34" s="49"/>
      <c r="H34" s="49"/>
      <c r="I34" s="49"/>
      <c r="J34" s="56"/>
      <c r="K34" s="49"/>
      <c r="L34" s="49"/>
      <c r="M34" s="49"/>
      <c r="N34" s="49"/>
      <c r="O34" s="49"/>
      <c r="P34" s="49"/>
      <c r="Q34" s="49"/>
      <c r="R34" s="51"/>
      <c r="T34" s="42" t="s">
        <v>42</v>
      </c>
    </row>
    <row r="35" spans="4:25" x14ac:dyDescent="0.2">
      <c r="E35" s="48" t="s">
        <v>43</v>
      </c>
      <c r="F35" s="49"/>
      <c r="G35" s="49"/>
      <c r="H35" s="49"/>
      <c r="I35" s="50" t="e">
        <f>(SUM(I18:I20)+'ÅOP ÅOK'!$C$21)*100</f>
        <v>#VALUE!</v>
      </c>
      <c r="J35" s="50" t="e">
        <f>(SUM(J18:J20)+'ÅOP ÅOK'!$C$21)*100</f>
        <v>#VALUE!</v>
      </c>
      <c r="K35" s="50" t="e">
        <f>(SUM(K18:K20)+'ÅOP ÅOK'!$C$21)*100</f>
        <v>#VALUE!</v>
      </c>
      <c r="L35" s="50" t="e">
        <f>(SUM(L18:L20)+'ÅOP ÅOK'!$C$21)*100</f>
        <v>#VALUE!</v>
      </c>
      <c r="M35" s="50" t="e">
        <f>(SUM(M18:M20)+'ÅOP ÅOK'!$C$21)*100</f>
        <v>#VALUE!</v>
      </c>
      <c r="N35" s="50" t="e">
        <f>(SUM(N18:N20)+'ÅOP ÅOK'!$C$21)*100</f>
        <v>#VALUE!</v>
      </c>
      <c r="O35" s="50" t="e">
        <f>(SUM(O18:O20)+'ÅOP ÅOK'!$C$21)*100</f>
        <v>#VALUE!</v>
      </c>
      <c r="P35" s="50" t="e">
        <f>(SUM(P18:P20)+'ÅOP ÅOK'!$C$21)*100</f>
        <v>#VALUE!</v>
      </c>
      <c r="Q35" s="50" t="e">
        <f>(SUM(Q18:Q20)+'ÅOP ÅOK'!$C$21)*100</f>
        <v>#VALUE!</v>
      </c>
      <c r="R35" s="51"/>
      <c r="T35" s="21" t="str">
        <f>'ÅOP ÅOK'!C4&amp;'ÅOP ÅOK'!C6</f>
        <v>Vælg</v>
      </c>
      <c r="U35" s="21"/>
      <c r="V35" s="21"/>
      <c r="W35" s="21"/>
      <c r="X35" s="21"/>
      <c r="Y35" s="21"/>
    </row>
    <row r="36" spans="4:25" x14ac:dyDescent="0.2">
      <c r="E36" s="48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1"/>
      <c r="T36" s="21"/>
      <c r="U36" s="21"/>
      <c r="V36" s="21"/>
      <c r="W36" s="21" t="s">
        <v>2</v>
      </c>
      <c r="X36" s="41" t="e">
        <f t="shared" ref="X36:X41" si="15">IF(Y36=0,NA(),Y36/SUM($Y$36:$Y$41))</f>
        <v>#REF!</v>
      </c>
      <c r="Y36" s="21" t="e">
        <f>+'ÅOP ÅOK'!#REF!</f>
        <v>#REF!</v>
      </c>
    </row>
    <row r="37" spans="4:25" x14ac:dyDescent="0.2">
      <c r="E37" s="52" t="s">
        <v>44</v>
      </c>
      <c r="F37" s="53"/>
      <c r="G37" s="53"/>
      <c r="H37" s="53"/>
      <c r="I37" s="60" t="e">
        <f>I33-I35</f>
        <v>#VALUE!</v>
      </c>
      <c r="J37" s="60" t="e">
        <f t="shared" ref="J37:P37" si="16">J33-J35</f>
        <v>#VALUE!</v>
      </c>
      <c r="K37" s="60" t="e">
        <f t="shared" si="16"/>
        <v>#VALUE!</v>
      </c>
      <c r="L37" s="60" t="e">
        <f t="shared" si="16"/>
        <v>#VALUE!</v>
      </c>
      <c r="M37" s="60" t="e">
        <f t="shared" si="16"/>
        <v>#VALUE!</v>
      </c>
      <c r="N37" s="60" t="e">
        <f t="shared" si="16"/>
        <v>#VALUE!</v>
      </c>
      <c r="O37" s="60" t="e">
        <f t="shared" si="16"/>
        <v>#VALUE!</v>
      </c>
      <c r="P37" s="60" t="e">
        <f t="shared" si="16"/>
        <v>#VALUE!</v>
      </c>
      <c r="Q37" s="60" t="e">
        <f>Q33-Q35</f>
        <v>#VALUE!</v>
      </c>
      <c r="R37" s="54"/>
      <c r="T37" s="21" t="s">
        <v>2</v>
      </c>
      <c r="U37" s="41" t="e">
        <f>IF(HLOOKUP($T$35,$I$7:$Q$14,5,FALSE)=0,NA(),HLOOKUP($T$35,$I$7:$Q$14,5,FALSE))</f>
        <v>#N/A</v>
      </c>
      <c r="V37" s="21"/>
      <c r="W37" s="21" t="s">
        <v>0</v>
      </c>
      <c r="X37" s="41" t="e">
        <f t="shared" si="15"/>
        <v>#REF!</v>
      </c>
      <c r="Y37" s="21" t="e">
        <f>+'ÅOP ÅOK'!#REF!</f>
        <v>#REF!</v>
      </c>
    </row>
    <row r="38" spans="4:25" x14ac:dyDescent="0.2">
      <c r="E38" s="55" t="s">
        <v>41</v>
      </c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T38" s="21" t="s">
        <v>1</v>
      </c>
      <c r="U38" s="41" t="e">
        <f>IF(HLOOKUP($T$35,$I$7:$Q$14,4,FALSE)=0,NA(),HLOOKUP($T$35,$I$7:$Q$14,4,FALSE))</f>
        <v>#N/A</v>
      </c>
      <c r="V38" s="21"/>
      <c r="W38" s="21" t="s">
        <v>1</v>
      </c>
      <c r="X38" s="41" t="e">
        <f t="shared" si="15"/>
        <v>#REF!</v>
      </c>
      <c r="Y38" s="21" t="e">
        <f>+'ÅOP ÅOK'!#REF!</f>
        <v>#REF!</v>
      </c>
    </row>
    <row r="39" spans="4:25" x14ac:dyDescent="0.2">
      <c r="T39" s="21" t="s">
        <v>3</v>
      </c>
      <c r="U39" s="41" t="e">
        <f>IF(HLOOKUP($T$35,$I$7:$Q$14,6,FALSE)=0,NA(),HLOOKUP($T$35,$I$7:$Q$14,6,FALSE))</f>
        <v>#N/A</v>
      </c>
      <c r="V39" s="21"/>
      <c r="W39" s="21" t="s">
        <v>3</v>
      </c>
      <c r="X39" s="41" t="e">
        <f t="shared" si="15"/>
        <v>#REF!</v>
      </c>
      <c r="Y39" s="21" t="e">
        <f>+'ÅOP ÅOK'!#REF!</f>
        <v>#REF!</v>
      </c>
    </row>
    <row r="40" spans="4:25" x14ac:dyDescent="0.2">
      <c r="T40" s="21" t="s">
        <v>4</v>
      </c>
      <c r="U40" s="41" t="e">
        <f>IF(HLOOKUP($T$35,$I$7:$Q$14,7,FALSE)=0,NA(),HLOOKUP($T$35,$I$7:$Q$14,7,FALSE))</f>
        <v>#N/A</v>
      </c>
      <c r="V40" s="21"/>
      <c r="W40" s="21" t="s">
        <v>4</v>
      </c>
      <c r="X40" s="41" t="e">
        <f t="shared" si="15"/>
        <v>#REF!</v>
      </c>
      <c r="Y40" s="21" t="e">
        <f>+'ÅOP ÅOK'!#REF!</f>
        <v>#REF!</v>
      </c>
    </row>
    <row r="41" spans="4:25" x14ac:dyDescent="0.2">
      <c r="T41" s="21"/>
      <c r="U41" s="41"/>
      <c r="V41" s="21"/>
      <c r="W41" s="21" t="s">
        <v>46</v>
      </c>
      <c r="X41" s="41" t="e">
        <f t="shared" si="15"/>
        <v>#REF!</v>
      </c>
      <c r="Y41" s="21" t="e">
        <f>+'ÅOP ÅOK'!#REF!</f>
        <v>#REF!</v>
      </c>
    </row>
    <row r="42" spans="4:25" x14ac:dyDescent="0.2">
      <c r="T42" s="2"/>
      <c r="U42" s="2"/>
    </row>
  </sheetData>
  <sheetProtection selectLockedCells="1" selectUnlockedCells="1"/>
  <pageMargins left="0.7" right="0.7" top="0.75" bottom="0.75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ÅOP ÅOK</vt:lpstr>
      <vt:lpstr>'ÅOP ÅOK'!Udskriftsområde</vt:lpstr>
    </vt:vector>
  </TitlesOfParts>
  <Company>%UD_COMPANY%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Mølgaard Nielsen</dc:creator>
  <cp:lastModifiedBy>Erik Lensgaard</cp:lastModifiedBy>
  <cp:lastPrinted>2023-02-15T15:25:35Z</cp:lastPrinted>
  <dcterms:created xsi:type="dcterms:W3CDTF">2019-07-12T07:15:09Z</dcterms:created>
  <dcterms:modified xsi:type="dcterms:W3CDTF">2023-02-20T10:11:51Z</dcterms:modified>
</cp:coreProperties>
</file>