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enne_projektmappe"/>
  <mc:AlternateContent xmlns:mc="http://schemas.openxmlformats.org/markup-compatibility/2006">
    <mc:Choice Requires="x15">
      <x15ac:absPath xmlns:x15ac="http://schemas.microsoft.com/office/spreadsheetml/2010/11/ac" url="https://b0024.sharepoint.com/sites/Dokumenter/Afdelinger/Finans Kapitalforvaltning/Puljer/Beregner hjemmeside og regnskab/2026 Beregner/"/>
    </mc:Choice>
  </mc:AlternateContent>
  <xr:revisionPtr revIDLastSave="4" documentId="8_{02648F1E-97CC-4612-864C-84798CE1F723}" xr6:coauthVersionLast="47" xr6:coauthVersionMax="47" xr10:uidLastSave="{58EC88CE-9A4A-47BB-920D-4C3E197F9205}"/>
  <bookViews>
    <workbookView xWindow="57480" yWindow="3660" windowWidth="29040" windowHeight="15720" xr2:uid="{00000000-000D-0000-FFFF-FFFF00000000}"/>
  </bookViews>
  <sheets>
    <sheet name="ÅOP ÅOK" sheetId="1" r:id="rId1"/>
    <sheet name="Data" sheetId="3" state="veryHidden" r:id="rId2"/>
  </sheets>
  <definedNames>
    <definedName name="_xlnm.Print_Area" localSheetId="0">'ÅOP ÅOK'!$A$1:$H$43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1" l="1"/>
  <c r="D19" i="1" s="1"/>
  <c r="C20" i="1"/>
  <c r="D20" i="1" s="1"/>
  <c r="F32" i="3" l="1"/>
  <c r="O17" i="3" l="1"/>
  <c r="N17" i="3"/>
  <c r="M17" i="3"/>
  <c r="L17" i="3"/>
  <c r="K17" i="3"/>
  <c r="J14" i="3"/>
  <c r="I14" i="3"/>
  <c r="H14" i="3"/>
  <c r="J13" i="3"/>
  <c r="I13" i="3"/>
  <c r="H13" i="3"/>
  <c r="J12" i="3"/>
  <c r="I12" i="3"/>
  <c r="H12" i="3"/>
  <c r="J11" i="3"/>
  <c r="I11" i="3"/>
  <c r="H11" i="3"/>
  <c r="B9" i="1"/>
  <c r="B10" i="3"/>
  <c r="C13" i="3" l="1" a="1"/>
  <c r="C13" i="3" s="1"/>
  <c r="C15" i="3" a="1"/>
  <c r="C15" i="3" s="1"/>
  <c r="C14" i="3" a="1"/>
  <c r="C14" i="3" s="1"/>
  <c r="C12" i="3" a="1"/>
  <c r="C12" i="3" s="1"/>
  <c r="K22" i="3" l="1"/>
  <c r="L22" i="3"/>
  <c r="C22" i="1" s="1"/>
  <c r="F36" i="3" s="1"/>
  <c r="M22" i="3"/>
  <c r="N22" i="3"/>
  <c r="O22" i="3"/>
  <c r="L23" i="3"/>
  <c r="M23" i="3"/>
  <c r="N23" i="3"/>
  <c r="O23" i="3"/>
  <c r="K23" i="3"/>
  <c r="L24" i="3"/>
  <c r="M24" i="3"/>
  <c r="N24" i="3"/>
  <c r="O24" i="3"/>
  <c r="K24" i="3"/>
  <c r="K19" i="3"/>
  <c r="D22" i="1" l="1"/>
  <c r="O25" i="3"/>
  <c r="N25" i="3"/>
  <c r="M25" i="3"/>
  <c r="L25" i="3"/>
  <c r="K25" i="3"/>
  <c r="L19" i="3" l="1"/>
  <c r="M19" i="3"/>
  <c r="N19" i="3"/>
  <c r="O19" i="3"/>
  <c r="L21" i="3"/>
  <c r="F35" i="3" s="1"/>
  <c r="M21" i="3"/>
  <c r="N21" i="3"/>
  <c r="O21" i="3"/>
  <c r="K21" i="3"/>
  <c r="C21" i="1" l="1"/>
  <c r="F34" i="3"/>
  <c r="F37" i="3" l="1"/>
  <c r="F33" i="3" s="1"/>
  <c r="C17" i="1"/>
  <c r="D21" i="1"/>
  <c r="D17" i="1" s="1"/>
  <c r="C44" i="1"/>
  <c r="C45" i="1"/>
  <c r="C46" i="1"/>
  <c r="C4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<sst xmlns="http://schemas.openxmlformats.org/spreadsheetml/2006/main" count="71" uniqueCount="49">
  <si>
    <t>Pulje 1 Indeksobl.</t>
  </si>
  <si>
    <t>Pulje 2 Lange obl.</t>
  </si>
  <si>
    <t>Pulje 3 Aktier</t>
  </si>
  <si>
    <t>Pulje 4 Korte obl.</t>
  </si>
  <si>
    <t>Pulje 6 Vrk. højrenteobl.</t>
  </si>
  <si>
    <t>Pulje 8 Mix Nrs.</t>
  </si>
  <si>
    <t>Kurtage</t>
  </si>
  <si>
    <t>Lav</t>
  </si>
  <si>
    <t>Høj</t>
  </si>
  <si>
    <t>Vælg</t>
  </si>
  <si>
    <t>Investeringsbeløb</t>
  </si>
  <si>
    <t>Månedlig indbetaling</t>
  </si>
  <si>
    <t>Handelsomkostninger</t>
  </si>
  <si>
    <t>Indirekte omkostninger</t>
  </si>
  <si>
    <t>Tjek</t>
  </si>
  <si>
    <t>Grundgebyr</t>
  </si>
  <si>
    <t>Puljetillæg</t>
  </si>
  <si>
    <t>P.tillæg</t>
  </si>
  <si>
    <t>ÅOK</t>
  </si>
  <si>
    <t>BANKVALG</t>
  </si>
  <si>
    <t>Investeringsfordeling</t>
  </si>
  <si>
    <t>Grå = Aktier, Hvid = Obligationer</t>
  </si>
  <si>
    <t>De forventede årlige omkostninger</t>
  </si>
  <si>
    <t>Anvendes til cirkeldiagrammer</t>
  </si>
  <si>
    <t>Middel</t>
  </si>
  <si>
    <t>PDA</t>
  </si>
  <si>
    <t>PKO</t>
  </si>
  <si>
    <t>PVI</t>
  </si>
  <si>
    <t>PLO</t>
  </si>
  <si>
    <t>Løbende omk.</t>
  </si>
  <si>
    <t>Indtrædelses omk.</t>
  </si>
  <si>
    <t>Udtrædelses omk.</t>
  </si>
  <si>
    <t>Løbende omkostninger</t>
  </si>
  <si>
    <t>Omkostninger p.a.</t>
  </si>
  <si>
    <t>Omkostningsspecifikation</t>
  </si>
  <si>
    <r>
      <rPr>
        <b/>
        <sz val="9"/>
        <color theme="1"/>
        <rFont val="Verdana"/>
        <family val="2"/>
      </rPr>
      <t>Beregningsforudsætninger og forklaringer</t>
    </r>
    <r>
      <rPr>
        <sz val="9"/>
        <color theme="1"/>
        <rFont val="Verdana"/>
        <family val="2"/>
      </rPr>
      <t xml:space="preserve">
Der betales ikke investeringsrelaterede engangsomkostninger til banken ved oprettelse eller udtrædelse af Puljeinvestering Bankvalg.
Alle angivne omkostninger i Puljeinvestering Bankvalg, og i denne omkostningsberegner, er af løbene karakter og beregnet ud fra den aktuelle puljesammensætning og investeringsstrategi. Herudover er den løbende omkostning oplyst på pro anno basis.
Omkostningsposten ”</t>
    </r>
    <r>
      <rPr>
        <i/>
        <sz val="9"/>
        <color theme="1"/>
        <rFont val="Verdana"/>
        <family val="2"/>
      </rPr>
      <t>Grundgebyr</t>
    </r>
    <r>
      <rPr>
        <sz val="9"/>
        <color theme="1"/>
        <rFont val="Verdana"/>
        <family val="2"/>
      </rPr>
      <t>” dækker over puljeordningens samlede grundgebyr.
Omkostningsposten ”</t>
    </r>
    <r>
      <rPr>
        <i/>
        <sz val="9"/>
        <color theme="1"/>
        <rFont val="Verdana"/>
        <family val="2"/>
      </rPr>
      <t>Puljetillæg</t>
    </r>
    <r>
      <rPr>
        <sz val="9"/>
        <color theme="1"/>
        <rFont val="Verdana"/>
        <family val="2"/>
      </rPr>
      <t>” dækker over puljeordningens samlede puljetillæg.
Omkostningsposten ”</t>
    </r>
    <r>
      <rPr>
        <i/>
        <sz val="9"/>
        <color theme="1"/>
        <rFont val="Verdana"/>
        <family val="2"/>
      </rPr>
      <t>Handelsomkostninger</t>
    </r>
    <r>
      <rPr>
        <sz val="9"/>
        <color theme="1"/>
        <rFont val="Verdana"/>
        <family val="2"/>
      </rPr>
      <t>” dækker over to ting:
1. Historiske handelsomkostninger, beregnet ud fra faktiske handelsomkostninger fra det foregående år.
2. Ind- og udtrædelsesomkostninger, relaterer sig til eksterne fondsforvaltere, den anvendte sats er beregnet ud fra en 7-årig holdeperiode.
Omkostningsposten ”</t>
    </r>
    <r>
      <rPr>
        <i/>
        <sz val="9"/>
        <color theme="1"/>
        <rFont val="Verdana"/>
        <family val="2"/>
      </rPr>
      <t>Løbende omkostninger</t>
    </r>
    <r>
      <rPr>
        <sz val="9"/>
        <color theme="1"/>
        <rFont val="Verdana"/>
        <family val="2"/>
      </rPr>
      <t>” består af løbende administrations- og forvaltningsomkostninger og relaterer sig til eksterne fondsforvaltere.</t>
    </r>
  </si>
  <si>
    <t>Andel</t>
  </si>
  <si>
    <t>Meget lav</t>
  </si>
  <si>
    <t>Meget høj</t>
  </si>
  <si>
    <t>&lt;-- Dette er ongoing+transaction</t>
  </si>
  <si>
    <t>Udtrædelse</t>
  </si>
  <si>
    <t>Indtrædelse</t>
  </si>
  <si>
    <t>Løbende</t>
  </si>
  <si>
    <t>Beregning af ÅOK v. månedlige indbetalinger</t>
  </si>
  <si>
    <t>Iht henstilling skal denne behandles som om alle indbetalinger</t>
  </si>
  <si>
    <t>skete først på året (12 måneder)</t>
  </si>
  <si>
    <t>Årlig indbetaling</t>
  </si>
  <si>
    <t>I alt</t>
  </si>
  <si>
    <t>Risikoprofil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</si>
</sst>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164" fontId="0" fillId="0" borderId="0" xfId="1" applyFont="1"/>
    <xf numFmtId="164" fontId="0" fillId="0" borderId="0" xfId="0" applyNumberFormat="1"/>
    <xf numFmtId="0" fontId="0" fillId="3" borderId="9" xfId="0" applyFill="1" applyBorder="1" applyProtection="1">
      <protection locked="0"/>
    </xf>
    <xf numFmtId="165" fontId="0" fillId="3" borderId="9" xfId="1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2" fillId="4" borderId="4" xfId="0" applyFont="1" applyFill="1" applyBorder="1"/>
    <xf numFmtId="0" fontId="0" fillId="4" borderId="0" xfId="0" applyFill="1"/>
    <xf numFmtId="0" fontId="0" fillId="4" borderId="5" xfId="0" applyFill="1" applyBorder="1"/>
    <xf numFmtId="0" fontId="0" fillId="4" borderId="4" xfId="0" applyFill="1" applyBorder="1"/>
    <xf numFmtId="0" fontId="0" fillId="4" borderId="5" xfId="0" applyFill="1" applyBorder="1" applyAlignment="1">
      <alignment horizontal="center"/>
    </xf>
    <xf numFmtId="165" fontId="0" fillId="4" borderId="5" xfId="1" applyNumberFormat="1" applyFont="1" applyFill="1" applyBorder="1" applyAlignment="1" applyProtection="1">
      <alignment horizontal="center"/>
    </xf>
    <xf numFmtId="164" fontId="0" fillId="2" borderId="0" xfId="1" applyFont="1" applyFill="1" applyBorder="1" applyProtection="1"/>
    <xf numFmtId="9" fontId="0" fillId="0" borderId="13" xfId="2" applyFont="1" applyBorder="1"/>
    <xf numFmtId="10" fontId="0" fillId="0" borderId="0" xfId="2" applyNumberFormat="1" applyFont="1" applyBorder="1"/>
    <xf numFmtId="9" fontId="0" fillId="0" borderId="0" xfId="2" applyFont="1" applyBorder="1"/>
    <xf numFmtId="0" fontId="0" fillId="0" borderId="13" xfId="0" applyBorder="1"/>
    <xf numFmtId="10" fontId="0" fillId="0" borderId="0" xfId="2" applyNumberFormat="1" applyFont="1"/>
    <xf numFmtId="0" fontId="2" fillId="2" borderId="0" xfId="0" applyFont="1" applyFill="1"/>
    <xf numFmtId="165" fontId="2" fillId="4" borderId="5" xfId="1" applyNumberFormat="1" applyFont="1" applyFill="1" applyBorder="1" applyAlignment="1" applyProtection="1">
      <alignment horizontal="center"/>
    </xf>
    <xf numFmtId="0" fontId="4" fillId="2" borderId="4" xfId="0" applyFont="1" applyFill="1" applyBorder="1"/>
    <xf numFmtId="165" fontId="2" fillId="2" borderId="5" xfId="1" applyNumberFormat="1" applyFont="1" applyFill="1" applyBorder="1" applyAlignment="1" applyProtection="1">
      <alignment horizontal="center"/>
    </xf>
    <xf numFmtId="0" fontId="2" fillId="2" borderId="4" xfId="0" applyFont="1" applyFill="1" applyBorder="1"/>
    <xf numFmtId="0" fontId="3" fillId="4" borderId="4" xfId="0" applyFont="1" applyFill="1" applyBorder="1"/>
    <xf numFmtId="165" fontId="1" fillId="4" borderId="5" xfId="1" applyNumberFormat="1" applyFont="1" applyFill="1" applyBorder="1" applyAlignment="1" applyProtection="1">
      <alignment horizontal="center"/>
    </xf>
    <xf numFmtId="0" fontId="5" fillId="2" borderId="0" xfId="0" applyFont="1" applyFill="1" applyAlignment="1">
      <alignment vertical="top" wrapText="1"/>
    </xf>
    <xf numFmtId="0" fontId="5" fillId="2" borderId="14" xfId="0" applyFont="1" applyFill="1" applyBorder="1" applyAlignment="1">
      <alignment vertical="top" wrapText="1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2" fillId="4" borderId="0" xfId="0" applyNumberFormat="1" applyFont="1" applyFill="1" applyAlignment="1">
      <alignment horizontal="center"/>
    </xf>
    <xf numFmtId="10" fontId="2" fillId="2" borderId="0" xfId="0" applyNumberFormat="1" applyFont="1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0" fillId="4" borderId="6" xfId="0" applyFill="1" applyBorder="1"/>
    <xf numFmtId="9" fontId="0" fillId="4" borderId="7" xfId="0" applyNumberFormat="1" applyFill="1" applyBorder="1" applyAlignment="1">
      <alignment horizontal="center"/>
    </xf>
    <xf numFmtId="0" fontId="0" fillId="4" borderId="8" xfId="0" applyFill="1" applyBorder="1"/>
    <xf numFmtId="10" fontId="8" fillId="0" borderId="13" xfId="0" applyNumberFormat="1" applyFont="1" applyBorder="1"/>
    <xf numFmtId="10" fontId="8" fillId="0" borderId="0" xfId="2" applyNumberFormat="1" applyFont="1" applyBorder="1"/>
    <xf numFmtId="10" fontId="8" fillId="0" borderId="0" xfId="0" applyNumberFormat="1" applyFont="1"/>
    <xf numFmtId="10" fontId="0" fillId="0" borderId="13" xfId="2" applyNumberFormat="1" applyFont="1" applyBorder="1"/>
    <xf numFmtId="0" fontId="1" fillId="0" borderId="0" xfId="3" quotePrefix="1"/>
    <xf numFmtId="9" fontId="0" fillId="0" borderId="15" xfId="2" applyFont="1" applyBorder="1"/>
    <xf numFmtId="9" fontId="0" fillId="0" borderId="16" xfId="2" applyFont="1" applyBorder="1"/>
    <xf numFmtId="9" fontId="0" fillId="0" borderId="4" xfId="2" applyFont="1" applyBorder="1"/>
    <xf numFmtId="9" fontId="0" fillId="0" borderId="5" xfId="2" applyFont="1" applyBorder="1"/>
    <xf numFmtId="0" fontId="0" fillId="0" borderId="15" xfId="0" applyBorder="1"/>
    <xf numFmtId="0" fontId="0" fillId="0" borderId="16" xfId="0" applyBorder="1"/>
    <xf numFmtId="10" fontId="0" fillId="0" borderId="4" xfId="2" applyNumberFormat="1" applyFont="1" applyBorder="1"/>
    <xf numFmtId="10" fontId="0" fillId="0" borderId="5" xfId="2" applyNumberFormat="1" applyFont="1" applyBorder="1"/>
    <xf numFmtId="10" fontId="0" fillId="0" borderId="6" xfId="0" applyNumberFormat="1" applyBorder="1"/>
    <xf numFmtId="10" fontId="0" fillId="0" borderId="7" xfId="0" applyNumberFormat="1" applyBorder="1"/>
    <xf numFmtId="10" fontId="0" fillId="0" borderId="8" xfId="0" applyNumberFormat="1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17" xfId="0" applyFont="1" applyBorder="1"/>
    <xf numFmtId="0" fontId="3" fillId="0" borderId="14" xfId="0" applyFont="1" applyBorder="1"/>
    <xf numFmtId="0" fontId="3" fillId="0" borderId="18" xfId="0" applyFont="1" applyBorder="1"/>
    <xf numFmtId="9" fontId="3" fillId="0" borderId="17" xfId="2" applyFont="1" applyBorder="1"/>
    <xf numFmtId="9" fontId="3" fillId="0" borderId="14" xfId="2" applyFont="1" applyBorder="1"/>
    <xf numFmtId="9" fontId="3" fillId="0" borderId="18" xfId="2" applyFont="1" applyBorder="1"/>
    <xf numFmtId="0" fontId="0" fillId="0" borderId="3" xfId="0" applyBorder="1"/>
    <xf numFmtId="0" fontId="2" fillId="0" borderId="1" xfId="0" applyFont="1" applyBorder="1"/>
    <xf numFmtId="9" fontId="0" fillId="0" borderId="5" xfId="2" applyFont="1" applyFill="1" applyBorder="1"/>
    <xf numFmtId="9" fontId="0" fillId="0" borderId="8" xfId="2" applyFont="1" applyFill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2" xfId="0" applyBorder="1"/>
    <xf numFmtId="10" fontId="8" fillId="0" borderId="5" xfId="2" applyNumberFormat="1" applyFont="1" applyBorder="1"/>
    <xf numFmtId="10" fontId="8" fillId="0" borderId="7" xfId="2" applyNumberFormat="1" applyFont="1" applyBorder="1"/>
    <xf numFmtId="10" fontId="8" fillId="0" borderId="8" xfId="2" applyNumberFormat="1" applyFont="1" applyBorder="1"/>
    <xf numFmtId="164" fontId="0" fillId="2" borderId="0" xfId="0" applyNumberFormat="1" applyFill="1"/>
    <xf numFmtId="164" fontId="0" fillId="0" borderId="0" xfId="1" applyFont="1" applyFill="1"/>
    <xf numFmtId="164" fontId="0" fillId="0" borderId="0" xfId="1" applyFont="1" applyFill="1" applyBorder="1"/>
    <xf numFmtId="164" fontId="0" fillId="0" borderId="5" xfId="1" applyFont="1" applyFill="1" applyBorder="1"/>
    <xf numFmtId="164" fontId="0" fillId="0" borderId="7" xfId="1" applyFont="1" applyFill="1" applyBorder="1"/>
    <xf numFmtId="10" fontId="0" fillId="2" borderId="0" xfId="0" applyNumberFormat="1" applyFill="1"/>
    <xf numFmtId="0" fontId="5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4">
    <cellStyle name="Komma" xfId="1" builtinId="3"/>
    <cellStyle name="Normal" xfId="0" builtinId="0"/>
    <cellStyle name="Normal 3" xfId="3" xr:uid="{D926FF44-717D-4425-867D-B8431D7A8B7A}"/>
    <cellStyle name="Procent" xfId="2" builtinId="5"/>
  </cellStyles>
  <dxfs count="2"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 w="19050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17A-4462-A4C1-BC677EBDB3EC}"/>
              </c:ext>
            </c:extLst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17A-4462-A4C1-BC677EBDB3EC}"/>
              </c:ext>
            </c:extLst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17A-4462-A4C1-BC677EBDB3EC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 w="19050">
                <a:solidFill>
                  <a:schemeClr val="tx1"/>
                </a:solidFill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17A-4462-A4C1-BC677EBDB3E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32520709-937A-4F00-9FDA-B0575C0CDAC2}" type="CATEGORYNAME">
                      <a:rPr lang="en-US" b="1">
                        <a:solidFill>
                          <a:schemeClr val="bg1"/>
                        </a:solidFill>
                      </a:rPr>
                      <a:pPr/>
                      <a:t>[KATEGORINAVN]</a:t>
                    </a:fld>
                    <a:r>
                      <a:rPr lang="en-US" b="1" baseline="0">
                        <a:solidFill>
                          <a:schemeClr val="bg1"/>
                        </a:solidFill>
                      </a:rPr>
                      <a:t>; </a:t>
                    </a:r>
                    <a:fld id="{2A7A559E-5828-4924-AB59-F6D6D63925F6}" type="VALUE">
                      <a:rPr lang="en-US" b="1" baseline="0">
                        <a:solidFill>
                          <a:schemeClr val="bg1"/>
                        </a:solidFill>
                      </a:rPr>
                      <a:pPr/>
                      <a:t>[VÆRDI]</a:t>
                    </a:fld>
                    <a:endParaRPr lang="en-US" b="1" baseline="0">
                      <a:solidFill>
                        <a:schemeClr val="bg1"/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17A-4462-A4C1-BC677EBDB3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Data!$B$12:$B$15</c:f>
              <c:strCache>
                <c:ptCount val="4"/>
                <c:pt idx="0">
                  <c:v>Pulje 3 Aktier</c:v>
                </c:pt>
                <c:pt idx="1">
                  <c:v>Pulje 2 Lange obl.</c:v>
                </c:pt>
                <c:pt idx="2">
                  <c:v>Pulje 4 Korte obl.</c:v>
                </c:pt>
                <c:pt idx="3">
                  <c:v>Pulje 6 Vrk. højrenteobl.</c:v>
                </c:pt>
              </c:strCache>
            </c:strRef>
          </c:cat>
          <c:val>
            <c:numRef>
              <c:f>Data!$C$12:$C$15</c:f>
              <c:numCache>
                <c:formatCode>0%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7A-4462-A4C1-BC677EBDB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23</xdr:row>
      <xdr:rowOff>142876</xdr:rowOff>
    </xdr:from>
    <xdr:to>
      <xdr:col>3</xdr:col>
      <xdr:colOff>38100</xdr:colOff>
      <xdr:row>40</xdr:row>
      <xdr:rowOff>57150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303406</xdr:colOff>
      <xdr:row>1</xdr:row>
      <xdr:rowOff>142411</xdr:rowOff>
    </xdr:from>
    <xdr:to>
      <xdr:col>5</xdr:col>
      <xdr:colOff>1946786</xdr:colOff>
      <xdr:row>6</xdr:row>
      <xdr:rowOff>52241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8706" y="313861"/>
          <a:ext cx="1643380" cy="719455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6</xdr:row>
      <xdr:rowOff>114300</xdr:rowOff>
    </xdr:from>
    <xdr:to>
      <xdr:col>5</xdr:col>
      <xdr:colOff>2371725</xdr:colOff>
      <xdr:row>11</xdr:row>
      <xdr:rowOff>2825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5" y="1095375"/>
          <a:ext cx="2095500" cy="69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B1:J49"/>
  <sheetViews>
    <sheetView tabSelected="1" zoomScaleNormal="100" workbookViewId="0">
      <selection activeCell="C4" sqref="C4"/>
    </sheetView>
  </sheetViews>
  <sheetFormatPr defaultRowHeight="12.75" x14ac:dyDescent="0.2"/>
  <cols>
    <col min="1" max="1" width="2.25" style="9" customWidth="1"/>
    <col min="2" max="2" width="39" style="9" customWidth="1"/>
    <col min="3" max="3" width="14.125" style="9" customWidth="1"/>
    <col min="4" max="4" width="11.25" style="9" bestFit="1" customWidth="1"/>
    <col min="5" max="5" width="2.5" style="9" customWidth="1"/>
    <col min="6" max="6" width="53" style="9" customWidth="1"/>
    <col min="7" max="16384" width="9" style="9"/>
  </cols>
  <sheetData>
    <row r="1" spans="2:6" ht="13.5" thickBot="1" x14ac:dyDescent="0.25"/>
    <row r="2" spans="2:6" x14ac:dyDescent="0.2">
      <c r="B2" s="5" t="s">
        <v>19</v>
      </c>
      <c r="C2" s="6"/>
      <c r="D2" s="7"/>
    </row>
    <row r="3" spans="2:6" x14ac:dyDescent="0.2">
      <c r="B3" s="8"/>
      <c r="D3" s="10"/>
    </row>
    <row r="4" spans="2:6" x14ac:dyDescent="0.2">
      <c r="B4" s="8" t="s">
        <v>48</v>
      </c>
      <c r="C4" s="3" t="s">
        <v>9</v>
      </c>
      <c r="D4" s="10"/>
    </row>
    <row r="5" spans="2:6" x14ac:dyDescent="0.2">
      <c r="B5" s="8"/>
      <c r="D5" s="10"/>
    </row>
    <row r="6" spans="2:6" x14ac:dyDescent="0.2">
      <c r="B6" s="8" t="s">
        <v>10</v>
      </c>
      <c r="C6" s="4"/>
      <c r="D6" s="10"/>
    </row>
    <row r="7" spans="2:6" x14ac:dyDescent="0.2">
      <c r="B7" s="8"/>
      <c r="D7" s="10"/>
    </row>
    <row r="8" spans="2:6" x14ac:dyDescent="0.2">
      <c r="B8" s="8" t="s">
        <v>11</v>
      </c>
      <c r="C8" s="4"/>
      <c r="D8" s="10"/>
    </row>
    <row r="9" spans="2:6" x14ac:dyDescent="0.2">
      <c r="B9" s="91" t="str">
        <f>_xlfn.IFNA(IF(VLOOKUP(C4,Data!B3:C7,2,FALSE)=1,"OBS! Banken yder ikke nysalg i den valgte risikoprofil, da afkastforventninger er lave ift. forvaltningsomkostningen. Som alternativ anbefales en kontantplacering. Kontakt eventuel banken på 9732 1166 ved spørgsmål.",""),"")</f>
        <v/>
      </c>
      <c r="C9" s="92"/>
      <c r="D9" s="93"/>
    </row>
    <row r="10" spans="2:6" x14ac:dyDescent="0.2">
      <c r="B10" s="91"/>
      <c r="C10" s="92"/>
      <c r="D10" s="93"/>
      <c r="F10" s="17"/>
    </row>
    <row r="11" spans="2:6" x14ac:dyDescent="0.2">
      <c r="B11" s="91"/>
      <c r="C11" s="92"/>
      <c r="D11" s="93"/>
      <c r="F11" s="17"/>
    </row>
    <row r="12" spans="2:6" ht="12.75" customHeight="1" x14ac:dyDescent="0.2">
      <c r="B12" s="91"/>
      <c r="C12" s="92"/>
      <c r="D12" s="93"/>
    </row>
    <row r="13" spans="2:6" ht="12.75" customHeight="1" x14ac:dyDescent="0.2">
      <c r="B13" s="91"/>
      <c r="C13" s="92"/>
      <c r="D13" s="93"/>
    </row>
    <row r="14" spans="2:6" x14ac:dyDescent="0.2">
      <c r="B14" s="91"/>
      <c r="C14" s="92"/>
      <c r="D14" s="93"/>
      <c r="F14" s="30"/>
    </row>
    <row r="15" spans="2:6" ht="12.75" customHeight="1" x14ac:dyDescent="0.2">
      <c r="B15" s="11" t="s">
        <v>22</v>
      </c>
      <c r="C15" s="12"/>
      <c r="D15" s="13"/>
      <c r="F15" s="30"/>
    </row>
    <row r="16" spans="2:6" x14ac:dyDescent="0.2">
      <c r="B16" s="14"/>
      <c r="C16" s="32" t="s">
        <v>33</v>
      </c>
      <c r="D16" s="15" t="s">
        <v>18</v>
      </c>
      <c r="F16" s="31"/>
    </row>
    <row r="17" spans="2:10" x14ac:dyDescent="0.2">
      <c r="B17" s="14"/>
      <c r="C17" s="33" t="str">
        <f>IF(SUM(C19:C23)=0,"",SUM(C19:C23))</f>
        <v/>
      </c>
      <c r="D17" s="29" t="str">
        <f>IF(D19="","",SUM(D19:D23))</f>
        <v/>
      </c>
      <c r="F17" s="85" t="s">
        <v>35</v>
      </c>
    </row>
    <row r="18" spans="2:10" x14ac:dyDescent="0.2">
      <c r="B18" s="28" t="s">
        <v>34</v>
      </c>
      <c r="C18" s="34"/>
      <c r="D18" s="24"/>
      <c r="F18" s="86"/>
    </row>
    <row r="19" spans="2:10" x14ac:dyDescent="0.2">
      <c r="B19" s="14" t="s">
        <v>15</v>
      </c>
      <c r="C19" s="33" t="str">
        <f>IF(OR(C4="vælg",AND(C6="",C8="")),"",(IF((C6+Data!F32)&lt;250000,(C6+Data!F32)*0.65%,IF(AND((C6+Data!F32)&gt;=250000,(C6+Data!F32)&lt;500000),250000*0.65%+((C6+Data!F32)-250000)*0.35%,IF((C6+Data!F32)&gt;=500000,250000*0.65%+250000*0.35%+((C6+Data!F32)-500000)*0.15%))))/(C6+Data!F32))</f>
        <v/>
      </c>
      <c r="D19" s="16" t="str">
        <f>IFERROR(($C$6+$C$8*12)*C19,"")</f>
        <v/>
      </c>
      <c r="F19" s="86"/>
    </row>
    <row r="20" spans="2:10" x14ac:dyDescent="0.2">
      <c r="B20" s="14" t="s">
        <v>16</v>
      </c>
      <c r="C20" s="33" t="str">
        <f>IF(OR(C4="vælg",AND(C6="",C8="")),"",_xlfn.IFNA(_xlfn.XLOOKUP($C$4,Data!$K$9:$O$9,Data!$K$21:$O$21),""))</f>
        <v/>
      </c>
      <c r="D20" s="16" t="str">
        <f t="shared" ref="D20:D22" si="0">IFERROR(($C$6+$C$8*12)*C20,"")</f>
        <v/>
      </c>
      <c r="F20" s="86"/>
      <c r="H20" s="79"/>
    </row>
    <row r="21" spans="2:10" x14ac:dyDescent="0.2">
      <c r="B21" s="14" t="s">
        <v>12</v>
      </c>
      <c r="C21" s="33" t="str">
        <f>IF(OR(C4="vælg",AND(C6="",C8="")),"",_xlfn.IFNA(HLOOKUP($C$4,Data!$K$9:$O$20,11,FALSE)+_xlfn.XLOOKUP($C$4,Data!$K$9:$O$9,Data!$K$23:$O$23)+_xlfn.XLOOKUP($C$4,Data!$K$9:$O$9,Data!$K$24:$O$24),""))</f>
        <v/>
      </c>
      <c r="D21" s="16" t="str">
        <f t="shared" si="0"/>
        <v/>
      </c>
      <c r="F21" s="86"/>
      <c r="J21" s="84"/>
    </row>
    <row r="22" spans="2:10" x14ac:dyDescent="0.2">
      <c r="B22" s="14" t="s">
        <v>32</v>
      </c>
      <c r="C22" s="33" t="str">
        <f>IF(OR(C4="vælg",AND(C6="",C8="")),"",_xlfn.IFNA(_xlfn.XLOOKUP($C$4,Data!$K$9:$O$9,Data!$K$22:$O$22),""))</f>
        <v/>
      </c>
      <c r="D22" s="16" t="str">
        <f t="shared" si="0"/>
        <v/>
      </c>
      <c r="F22" s="86"/>
    </row>
    <row r="23" spans="2:10" x14ac:dyDescent="0.2">
      <c r="B23" s="14"/>
      <c r="C23" s="33"/>
      <c r="D23" s="16"/>
      <c r="F23" s="86"/>
    </row>
    <row r="24" spans="2:10" x14ac:dyDescent="0.2">
      <c r="B24" s="25"/>
      <c r="C24" s="35"/>
      <c r="D24" s="26"/>
      <c r="F24" s="86"/>
    </row>
    <row r="25" spans="2:10" x14ac:dyDescent="0.2">
      <c r="B25" s="27" t="s">
        <v>20</v>
      </c>
      <c r="C25" s="35"/>
      <c r="D25" s="26"/>
      <c r="F25" s="86"/>
    </row>
    <row r="26" spans="2:10" x14ac:dyDescent="0.2">
      <c r="B26" s="25"/>
      <c r="C26" s="35"/>
      <c r="D26" s="26"/>
      <c r="F26" s="86"/>
    </row>
    <row r="27" spans="2:10" x14ac:dyDescent="0.2">
      <c r="B27" s="25"/>
      <c r="C27" s="35"/>
      <c r="D27" s="26"/>
      <c r="F27" s="86"/>
    </row>
    <row r="28" spans="2:10" x14ac:dyDescent="0.2">
      <c r="B28" s="25"/>
      <c r="C28" s="35"/>
      <c r="D28" s="26"/>
      <c r="F28" s="86"/>
      <c r="I28" s="23"/>
    </row>
    <row r="29" spans="2:10" x14ac:dyDescent="0.2">
      <c r="B29" s="25"/>
      <c r="C29" s="35"/>
      <c r="D29" s="26"/>
      <c r="F29" s="86"/>
    </row>
    <row r="30" spans="2:10" x14ac:dyDescent="0.2">
      <c r="B30" s="25"/>
      <c r="C30" s="35"/>
      <c r="D30" s="26"/>
      <c r="F30" s="86"/>
    </row>
    <row r="31" spans="2:10" x14ac:dyDescent="0.2">
      <c r="B31" s="25"/>
      <c r="C31" s="35"/>
      <c r="D31" s="26"/>
      <c r="F31" s="86"/>
    </row>
    <row r="32" spans="2:10" x14ac:dyDescent="0.2">
      <c r="B32" s="8"/>
      <c r="D32" s="10"/>
      <c r="F32" s="86"/>
    </row>
    <row r="33" spans="2:6" x14ac:dyDescent="0.2">
      <c r="B33" s="8"/>
      <c r="D33" s="10"/>
      <c r="F33" s="86"/>
    </row>
    <row r="34" spans="2:6" x14ac:dyDescent="0.2">
      <c r="B34" s="8"/>
      <c r="D34" s="10"/>
      <c r="F34" s="86"/>
    </row>
    <row r="35" spans="2:6" x14ac:dyDescent="0.2">
      <c r="B35" s="8"/>
      <c r="D35" s="10"/>
      <c r="F35" s="86"/>
    </row>
    <row r="36" spans="2:6" x14ac:dyDescent="0.2">
      <c r="B36" s="8"/>
      <c r="D36" s="10"/>
      <c r="F36" s="86"/>
    </row>
    <row r="37" spans="2:6" x14ac:dyDescent="0.2">
      <c r="B37" s="8"/>
      <c r="D37" s="10"/>
      <c r="F37" s="86"/>
    </row>
    <row r="38" spans="2:6" x14ac:dyDescent="0.2">
      <c r="B38" s="8"/>
      <c r="D38" s="10"/>
      <c r="F38" s="86"/>
    </row>
    <row r="39" spans="2:6" x14ac:dyDescent="0.2">
      <c r="B39" s="8"/>
      <c r="D39" s="10"/>
      <c r="F39" s="86"/>
    </row>
    <row r="40" spans="2:6" x14ac:dyDescent="0.2">
      <c r="B40" s="88" t="s">
        <v>21</v>
      </c>
      <c r="C40" s="89"/>
      <c r="D40" s="90"/>
      <c r="F40" s="86"/>
    </row>
    <row r="41" spans="2:6" x14ac:dyDescent="0.2">
      <c r="B41" s="8"/>
      <c r="D41" s="10"/>
      <c r="F41" s="86"/>
    </row>
    <row r="42" spans="2:6" x14ac:dyDescent="0.2">
      <c r="B42" s="14"/>
      <c r="C42" s="32" t="s">
        <v>36</v>
      </c>
      <c r="D42" s="13"/>
      <c r="F42" s="87"/>
    </row>
    <row r="43" spans="2:6" x14ac:dyDescent="0.2">
      <c r="B43" s="14" t="s">
        <v>1</v>
      </c>
      <c r="C43" s="36" t="e">
        <f>Data!C13</f>
        <v>#N/A</v>
      </c>
      <c r="D43" s="13"/>
    </row>
    <row r="44" spans="2:6" x14ac:dyDescent="0.2">
      <c r="B44" s="14" t="s">
        <v>2</v>
      </c>
      <c r="C44" s="36" t="e">
        <f>Data!C12</f>
        <v>#N/A</v>
      </c>
      <c r="D44" s="13"/>
    </row>
    <row r="45" spans="2:6" x14ac:dyDescent="0.2">
      <c r="B45" s="14" t="s">
        <v>3</v>
      </c>
      <c r="C45" s="36" t="e">
        <f>Data!C14</f>
        <v>#N/A</v>
      </c>
      <c r="D45" s="13"/>
    </row>
    <row r="46" spans="2:6" ht="13.5" thickBot="1" x14ac:dyDescent="0.25">
      <c r="B46" s="37" t="s">
        <v>4</v>
      </c>
      <c r="C46" s="38" t="e">
        <f>Data!C15</f>
        <v>#N/A</v>
      </c>
      <c r="D46" s="39"/>
    </row>
    <row r="49" spans="3:3" x14ac:dyDescent="0.2">
      <c r="C49" s="84"/>
    </row>
  </sheetData>
  <sheetProtection algorithmName="SHA-512" hashValue="OsbwWfF/yGYtm19vBPT2xjYkHSKujOvSDfGkT+dl3jZ6sG4YgHPtMILlpgCP2ZEfzN79uXCjF28qAVD6lyzXXA==" saltValue="PDZxmEHWLf/vh6HsJl0Amg==" spinCount="100000" sheet="1" selectLockedCells="1"/>
  <mergeCells count="3">
    <mergeCell ref="F17:F42"/>
    <mergeCell ref="B40:D40"/>
    <mergeCell ref="B9:D14"/>
  </mergeCells>
  <conditionalFormatting sqref="C43:C46">
    <cfRule type="containsErrors" dxfId="0" priority="7">
      <formula>ISERROR(C43)</formula>
    </cfRule>
  </conditionalFormatting>
  <pageMargins left="0.70866141732283472" right="0.70866141732283472" top="0.74803149606299213" bottom="0.74803149606299213" header="0.31496062992125984" footer="0.31496062992125984"/>
  <pageSetup paperSize="9" scale="82" orientation="landscape" r:id="rId1"/>
  <ignoredErrors>
    <ignoredError sqref="C43:C46" evalError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4308BB6A-06D3-435E-AEB5-DFC50A759228}">
            <xm:f>NOT(ISERROR(SEARCH($B$9,B9)))</xm:f>
            <xm:f>$B$9</xm:f>
            <x14:dxf>
              <font>
                <color rgb="FF9C0006"/>
              </font>
            </x14:dxf>
          </x14:cfRule>
          <xm:sqref>B9:D14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Data!$B$2:$B$7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B1:S43"/>
  <sheetViews>
    <sheetView zoomScale="85" zoomScaleNormal="85" workbookViewId="0">
      <selection activeCell="G10" sqref="G10:G15"/>
    </sheetView>
  </sheetViews>
  <sheetFormatPr defaultRowHeight="12.75" x14ac:dyDescent="0.2"/>
  <cols>
    <col min="2" max="2" width="31.75" bestFit="1" customWidth="1"/>
    <col min="3" max="3" width="8.875" customWidth="1"/>
    <col min="5" max="5" width="22.75" customWidth="1"/>
    <col min="6" max="10" width="15.625" customWidth="1"/>
    <col min="11" max="15" width="16.625" customWidth="1"/>
    <col min="16" max="16" width="15.5" bestFit="1" customWidth="1"/>
    <col min="19" max="19" width="12" bestFit="1" customWidth="1"/>
    <col min="20" max="20" width="19.875" bestFit="1" customWidth="1"/>
  </cols>
  <sheetData>
    <row r="1" spans="2:17" ht="13.5" thickBot="1" x14ac:dyDescent="0.25"/>
    <row r="2" spans="2:17" x14ac:dyDescent="0.2">
      <c r="B2" s="56" t="s">
        <v>9</v>
      </c>
      <c r="C2" s="68"/>
      <c r="E2" s="56"/>
      <c r="F2" s="75" t="s">
        <v>28</v>
      </c>
      <c r="G2" s="75" t="s">
        <v>25</v>
      </c>
      <c r="H2" s="75" t="s">
        <v>26</v>
      </c>
      <c r="I2" s="68" t="s">
        <v>27</v>
      </c>
    </row>
    <row r="3" spans="2:17" x14ac:dyDescent="0.2">
      <c r="B3" s="57" t="s">
        <v>37</v>
      </c>
      <c r="C3" s="58">
        <v>1</v>
      </c>
      <c r="E3" s="57" t="s">
        <v>29</v>
      </c>
      <c r="F3" s="41">
        <v>7.7698917424444088E-4</v>
      </c>
      <c r="G3" s="41">
        <v>8.4565454768502496E-3</v>
      </c>
      <c r="H3" s="41">
        <v>2.1442583628293421E-3</v>
      </c>
      <c r="I3" s="76">
        <v>7.9546276165896376E-3</v>
      </c>
      <c r="L3" s="22"/>
      <c r="M3" s="22"/>
      <c r="N3" s="22"/>
      <c r="O3" s="22"/>
    </row>
    <row r="4" spans="2:17" x14ac:dyDescent="0.2">
      <c r="B4" s="57" t="s">
        <v>7</v>
      </c>
      <c r="C4" s="58"/>
      <c r="E4" s="57" t="s">
        <v>30</v>
      </c>
      <c r="F4" s="41">
        <v>2.5805426599121491E-4</v>
      </c>
      <c r="G4" s="41">
        <v>1.5735116158014204E-3</v>
      </c>
      <c r="H4" s="41">
        <v>1.0235381681150361E-3</v>
      </c>
      <c r="I4" s="76">
        <v>3.7569002819911636E-3</v>
      </c>
      <c r="L4" s="22"/>
      <c r="M4" s="22"/>
      <c r="N4" s="22"/>
      <c r="O4" s="22"/>
    </row>
    <row r="5" spans="2:17" ht="13.5" thickBot="1" x14ac:dyDescent="0.25">
      <c r="B5" s="57" t="s">
        <v>24</v>
      </c>
      <c r="C5" s="58"/>
      <c r="E5" s="59" t="s">
        <v>31</v>
      </c>
      <c r="F5" s="77">
        <v>2.5805426599121491E-4</v>
      </c>
      <c r="G5" s="77">
        <v>1.41153988294917E-3</v>
      </c>
      <c r="H5" s="77">
        <v>1.0235381681150361E-3</v>
      </c>
      <c r="I5" s="78">
        <v>9.0649964771115314E-3</v>
      </c>
      <c r="L5" s="22"/>
      <c r="M5" s="22"/>
      <c r="N5" s="22"/>
      <c r="O5" s="22"/>
    </row>
    <row r="6" spans="2:17" x14ac:dyDescent="0.2">
      <c r="B6" s="57" t="s">
        <v>8</v>
      </c>
      <c r="C6" s="58"/>
    </row>
    <row r="7" spans="2:17" ht="13.5" thickBot="1" x14ac:dyDescent="0.25">
      <c r="B7" s="59" t="s">
        <v>38</v>
      </c>
      <c r="C7" s="61"/>
    </row>
    <row r="8" spans="2:17" ht="13.5" thickBot="1" x14ac:dyDescent="0.25"/>
    <row r="9" spans="2:17" x14ac:dyDescent="0.2">
      <c r="B9" s="69" t="s">
        <v>23</v>
      </c>
      <c r="C9" s="68"/>
      <c r="E9" s="56"/>
      <c r="F9" s="72" t="s">
        <v>16</v>
      </c>
      <c r="G9" s="72" t="s">
        <v>6</v>
      </c>
      <c r="H9" s="72" t="s">
        <v>42</v>
      </c>
      <c r="I9" s="72" t="s">
        <v>41</v>
      </c>
      <c r="J9" s="73" t="s">
        <v>40</v>
      </c>
      <c r="K9" s="74" t="s">
        <v>37</v>
      </c>
      <c r="L9" s="72" t="s">
        <v>7</v>
      </c>
      <c r="M9" s="72" t="s">
        <v>24</v>
      </c>
      <c r="N9" s="72" t="s">
        <v>8</v>
      </c>
      <c r="O9" s="73" t="s">
        <v>38</v>
      </c>
    </row>
    <row r="10" spans="2:17" x14ac:dyDescent="0.2">
      <c r="B10" s="57" t="str">
        <f>'ÅOP ÅOK'!C4</f>
        <v>Vælg</v>
      </c>
      <c r="C10" s="58"/>
      <c r="E10" s="49" t="s">
        <v>0</v>
      </c>
      <c r="F10" s="40">
        <v>1E-3</v>
      </c>
      <c r="G10" s="40">
        <v>0</v>
      </c>
      <c r="H10" s="43"/>
      <c r="I10" s="21"/>
      <c r="J10" s="50"/>
      <c r="K10" s="45"/>
      <c r="L10" s="18"/>
      <c r="M10" s="18"/>
      <c r="N10" s="18"/>
      <c r="O10" s="46"/>
    </row>
    <row r="11" spans="2:17" x14ac:dyDescent="0.2">
      <c r="B11" s="57"/>
      <c r="C11" s="58"/>
      <c r="E11" s="57" t="s">
        <v>1</v>
      </c>
      <c r="F11" s="41">
        <v>2E-3</v>
      </c>
      <c r="G11" s="42">
        <v>7.7797627513733988E-4</v>
      </c>
      <c r="H11" s="19">
        <f>F3</f>
        <v>7.7698917424444088E-4</v>
      </c>
      <c r="I11" s="19">
        <f>F4/7</f>
        <v>3.686489514160213E-5</v>
      </c>
      <c r="J11" s="52">
        <f>F5/7</f>
        <v>3.686489514160213E-5</v>
      </c>
      <c r="K11" s="47"/>
      <c r="L11" s="20">
        <v>0.38</v>
      </c>
      <c r="M11" s="20">
        <v>0.25</v>
      </c>
      <c r="N11" s="20">
        <v>0.13</v>
      </c>
      <c r="O11" s="48"/>
    </row>
    <row r="12" spans="2:17" x14ac:dyDescent="0.2">
      <c r="B12" s="57" t="s">
        <v>2</v>
      </c>
      <c r="C12" s="70" t="e" cm="1">
        <f t="array" ref="C12">IF($B$10="Meget lav",ERROR.TYPE(7),IF(_xlfn.XLOOKUP($B12,$E$10:$E$15,_xlfn.XLOOKUP($B$10,$K$9:$O$9,$K$10:$O$15))=0,ERROR.TYPE(7),_xlfn.XLOOKUP($B12,$E$10:$E$15,_xlfn.XLOOKUP($B$10,$K$9:$O$9,$K$10:$O$15))))</f>
        <v>#N/A</v>
      </c>
      <c r="E12" s="57" t="s">
        <v>2</v>
      </c>
      <c r="F12" s="41">
        <v>4.4999999999999997E-3</v>
      </c>
      <c r="G12" s="42">
        <v>4.7524536404147614E-3</v>
      </c>
      <c r="H12" s="19">
        <f>G3</f>
        <v>8.4565454768502496E-3</v>
      </c>
      <c r="I12" s="19">
        <f>G4/7</f>
        <v>2.247873736859172E-4</v>
      </c>
      <c r="J12" s="52">
        <f>G5/7</f>
        <v>2.0164855470702428E-4</v>
      </c>
      <c r="K12" s="47"/>
      <c r="L12" s="20">
        <v>0.25</v>
      </c>
      <c r="M12" s="20">
        <v>0.5</v>
      </c>
      <c r="N12" s="20">
        <v>0.75</v>
      </c>
      <c r="O12" s="48">
        <v>1</v>
      </c>
    </row>
    <row r="13" spans="2:17" x14ac:dyDescent="0.2">
      <c r="B13" s="57" t="s">
        <v>1</v>
      </c>
      <c r="C13" s="70" t="e" cm="1">
        <f t="array" ref="C13">IF($B$10="Meget lav",ERROR.TYPE(7),IF(_xlfn.XLOOKUP($B13,$E$10:$E$15,_xlfn.XLOOKUP($B$10,$K$9:$O$9,$K$10:$O$15))=0,ERROR.TYPE(7),_xlfn.XLOOKUP($B13,$E$10:$E$15,_xlfn.XLOOKUP($B$10,$K$9:$O$9,$K$10:$O$15))))</f>
        <v>#N/A</v>
      </c>
      <c r="E13" s="57" t="s">
        <v>3</v>
      </c>
      <c r="F13" s="41">
        <v>1E-3</v>
      </c>
      <c r="G13" s="42">
        <v>6.0936764558248502E-4</v>
      </c>
      <c r="H13" s="19">
        <f>H3</f>
        <v>2.1442583628293421E-3</v>
      </c>
      <c r="I13" s="19">
        <f>H4/7</f>
        <v>1.4621973830214802E-4</v>
      </c>
      <c r="J13" s="52">
        <f>H5/7</f>
        <v>1.4621973830214802E-4</v>
      </c>
      <c r="K13" s="47"/>
      <c r="L13" s="20">
        <v>0.15</v>
      </c>
      <c r="M13" s="20">
        <v>0.1</v>
      </c>
      <c r="N13" s="20">
        <v>0.05</v>
      </c>
      <c r="O13" s="48"/>
    </row>
    <row r="14" spans="2:17" x14ac:dyDescent="0.2">
      <c r="B14" s="57" t="s">
        <v>3</v>
      </c>
      <c r="C14" s="70" t="e" cm="1">
        <f t="array" ref="C14">IF($B$10="Meget lav",ERROR.TYPE(7),IF(_xlfn.XLOOKUP($B14,$E$10:$E$15,_xlfn.XLOOKUP($B$10,$K$9:$O$9,$K$10:$O$15))=0,ERROR.TYPE(7),_xlfn.XLOOKUP($B14,$E$10:$E$15,_xlfn.XLOOKUP($B$10,$K$9:$O$9,$K$10:$O$15))))</f>
        <v>#N/A</v>
      </c>
      <c r="E14" s="57" t="s">
        <v>4</v>
      </c>
      <c r="F14" s="41">
        <v>3.5000000000000001E-3</v>
      </c>
      <c r="G14" s="42">
        <v>1.4890780684056824E-3</v>
      </c>
      <c r="H14" s="19">
        <f>I3</f>
        <v>7.9546276165896376E-3</v>
      </c>
      <c r="I14" s="19">
        <f>I4/7</f>
        <v>5.3670004028445197E-4</v>
      </c>
      <c r="J14" s="52">
        <f>I5/7</f>
        <v>1.2949994967302188E-3</v>
      </c>
      <c r="K14" s="47"/>
      <c r="L14" s="20">
        <v>0.22</v>
      </c>
      <c r="M14" s="20">
        <v>0.15</v>
      </c>
      <c r="N14" s="20">
        <v>7.0000000000000007E-2</v>
      </c>
      <c r="O14" s="48"/>
    </row>
    <row r="15" spans="2:17" x14ac:dyDescent="0.2">
      <c r="B15" s="57" t="s">
        <v>4</v>
      </c>
      <c r="C15" s="70" t="e" cm="1">
        <f t="array" ref="C15">IF($B$10="Meget lav",ERROR.TYPE(7),IF(_xlfn.XLOOKUP($B15,$E$10:$E$15,_xlfn.XLOOKUP($B$10,$K$9:$O$9,$K$10:$O$15))=0,ERROR.TYPE(7),_xlfn.XLOOKUP($B15,$E$10:$E$15,_xlfn.XLOOKUP($B$10,$K$9:$O$9,$K$10:$O$15))))</f>
        <v>#N/A</v>
      </c>
      <c r="D15" s="22"/>
      <c r="E15" s="57" t="s">
        <v>5</v>
      </c>
      <c r="F15" s="41">
        <v>5.4999999999999997E-3</v>
      </c>
      <c r="G15" s="42">
        <v>0</v>
      </c>
      <c r="J15" s="58"/>
      <c r="K15" s="47"/>
      <c r="L15" s="20"/>
      <c r="M15" s="20"/>
      <c r="N15" s="20"/>
      <c r="O15" s="48"/>
      <c r="Q15" s="22"/>
    </row>
    <row r="16" spans="2:17" ht="13.5" thickBot="1" x14ac:dyDescent="0.25">
      <c r="B16" s="59"/>
      <c r="C16" s="71"/>
      <c r="E16" s="57"/>
      <c r="J16" s="58"/>
      <c r="K16" s="47"/>
      <c r="L16" s="20"/>
      <c r="M16" s="20"/>
      <c r="N16" s="20"/>
      <c r="O16" s="48"/>
    </row>
    <row r="17" spans="5:15" x14ac:dyDescent="0.2">
      <c r="E17" s="62" t="s">
        <v>14</v>
      </c>
      <c r="F17" s="63"/>
      <c r="G17" s="63"/>
      <c r="H17" s="63"/>
      <c r="I17" s="63"/>
      <c r="J17" s="64"/>
      <c r="K17" s="65">
        <f t="shared" ref="K17:O17" si="0">SUM(K10:K15)</f>
        <v>0</v>
      </c>
      <c r="L17" s="66">
        <f t="shared" si="0"/>
        <v>1</v>
      </c>
      <c r="M17" s="66">
        <f t="shared" si="0"/>
        <v>1</v>
      </c>
      <c r="N17" s="66">
        <f t="shared" si="0"/>
        <v>1</v>
      </c>
      <c r="O17" s="67">
        <f t="shared" si="0"/>
        <v>1</v>
      </c>
    </row>
    <row r="18" spans="5:15" x14ac:dyDescent="0.2">
      <c r="E18" s="49"/>
      <c r="F18" s="21"/>
      <c r="G18" s="21"/>
      <c r="H18" s="21"/>
      <c r="I18" s="21"/>
      <c r="J18" s="50"/>
      <c r="K18" s="49"/>
      <c r="L18" s="21"/>
      <c r="M18" s="21"/>
      <c r="N18" s="21"/>
      <c r="O18" s="50"/>
    </row>
    <row r="19" spans="5:15" x14ac:dyDescent="0.2">
      <c r="E19" s="57" t="s">
        <v>6</v>
      </c>
      <c r="J19" s="58"/>
      <c r="K19" s="51">
        <f>SUMPRODUCT(K10:K15,$G$10:$G$15)</f>
        <v>0</v>
      </c>
      <c r="L19" s="19">
        <f>SUMPRODUCT(L10:L15,$G$10:$G$15)</f>
        <v>1.9027467165425023E-3</v>
      </c>
      <c r="M19" s="19">
        <f>SUMPRODUCT(M10:M15,$G$10:$G$15)</f>
        <v>2.8550193638108164E-3</v>
      </c>
      <c r="N19" s="19">
        <f>SUMPRODUCT(N10:N15,$G$10:$G$15)</f>
        <v>3.8001809931464473E-3</v>
      </c>
      <c r="O19" s="52">
        <f>SUMPRODUCT(O10:O15,$G$10:$G$15)</f>
        <v>4.7524536404147614E-3</v>
      </c>
    </row>
    <row r="20" spans="5:15" x14ac:dyDescent="0.2">
      <c r="E20" s="57"/>
      <c r="J20" s="58"/>
      <c r="K20" s="51"/>
      <c r="L20" s="19"/>
      <c r="M20" s="19"/>
      <c r="N20" s="19"/>
      <c r="O20" s="52"/>
    </row>
    <row r="21" spans="5:15" x14ac:dyDescent="0.2">
      <c r="E21" s="57" t="s">
        <v>17</v>
      </c>
      <c r="J21" s="58"/>
      <c r="K21" s="51">
        <f t="shared" ref="K21:O21" si="1">SUMPRODUCT(K10:K15,$F$10:$F$15)</f>
        <v>0</v>
      </c>
      <c r="L21" s="19">
        <f t="shared" si="1"/>
        <v>2.8050000000000002E-3</v>
      </c>
      <c r="M21" s="19">
        <f t="shared" si="1"/>
        <v>3.3749999999999995E-3</v>
      </c>
      <c r="N21" s="19">
        <f t="shared" si="1"/>
        <v>3.9299999999999995E-3</v>
      </c>
      <c r="O21" s="52">
        <f t="shared" si="1"/>
        <v>4.4999999999999997E-3</v>
      </c>
    </row>
    <row r="22" spans="5:15" x14ac:dyDescent="0.2">
      <c r="E22" s="57" t="s">
        <v>29</v>
      </c>
      <c r="F22" s="44" t="s">
        <v>39</v>
      </c>
      <c r="J22" s="58"/>
      <c r="K22" s="51">
        <f>SUMPRODUCT(K10:K15,$H$10:$H$15)</f>
        <v>0</v>
      </c>
      <c r="L22" s="19">
        <f t="shared" ref="L22:O22" si="2">SUMPRODUCT(L10:L15,$H$10:$H$15)</f>
        <v>4.4810490854995718E-3</v>
      </c>
      <c r="M22" s="19">
        <f t="shared" si="2"/>
        <v>5.8301400107576146E-3</v>
      </c>
      <c r="N22" s="19">
        <f t="shared" si="2"/>
        <v>7.107454551592206E-3</v>
      </c>
      <c r="O22" s="52">
        <f t="shared" si="2"/>
        <v>8.4565454768502496E-3</v>
      </c>
    </row>
    <row r="23" spans="5:15" x14ac:dyDescent="0.2">
      <c r="E23" s="57" t="s">
        <v>30</v>
      </c>
      <c r="J23" s="58"/>
      <c r="K23" s="51">
        <f>SUMPRODUCT(K10:K15,$I$10:$I$15)</f>
        <v>0</v>
      </c>
      <c r="L23" s="19">
        <f t="shared" ref="L23:O23" si="3">SUMPRODUCT(L10:L15,$I$10:$I$15)</f>
        <v>2.1021247318318975E-4</v>
      </c>
      <c r="M23" s="19">
        <f t="shared" si="3"/>
        <v>2.1673689050124174E-4</v>
      </c>
      <c r="N23" s="19">
        <f t="shared" si="3"/>
        <v>2.1826295636786521E-4</v>
      </c>
      <c r="O23" s="52">
        <f t="shared" si="3"/>
        <v>2.247873736859172E-4</v>
      </c>
    </row>
    <row r="24" spans="5:15" x14ac:dyDescent="0.2">
      <c r="E24" s="57" t="s">
        <v>31</v>
      </c>
      <c r="J24" s="58"/>
      <c r="K24" s="51">
        <f>SUMPRODUCT(K10:K15,$J$10:$J$15)</f>
        <v>0</v>
      </c>
      <c r="L24" s="19">
        <f t="shared" ref="L24:O24" si="4">SUMPRODUCT(L10:L15,$J$10:$J$15)</f>
        <v>3.7125364885653522E-4</v>
      </c>
      <c r="M24" s="19">
        <f t="shared" si="4"/>
        <v>3.189123994786603E-4</v>
      </c>
      <c r="N24" s="19">
        <f t="shared" si="4"/>
        <v>2.5398980408489923E-4</v>
      </c>
      <c r="O24" s="52">
        <f t="shared" si="4"/>
        <v>2.0164855470702428E-4</v>
      </c>
    </row>
    <row r="25" spans="5:15" ht="13.5" thickBot="1" x14ac:dyDescent="0.25">
      <c r="E25" s="59"/>
      <c r="F25" s="60"/>
      <c r="G25" s="60"/>
      <c r="H25" s="60"/>
      <c r="I25" s="60"/>
      <c r="J25" s="61"/>
      <c r="K25" s="53">
        <f t="shared" ref="K25:O25" si="5">SUM(K22:K24)</f>
        <v>0</v>
      </c>
      <c r="L25" s="54">
        <f t="shared" si="5"/>
        <v>5.0625152075392975E-3</v>
      </c>
      <c r="M25" s="54">
        <f t="shared" si="5"/>
        <v>6.3657893007375167E-3</v>
      </c>
      <c r="N25" s="54">
        <f t="shared" si="5"/>
        <v>7.5797073120449704E-3</v>
      </c>
      <c r="O25" s="55">
        <f t="shared" si="5"/>
        <v>8.8829814052431913E-3</v>
      </c>
    </row>
    <row r="27" spans="5:15" ht="13.5" thickBot="1" x14ac:dyDescent="0.25"/>
    <row r="28" spans="5:15" x14ac:dyDescent="0.2">
      <c r="E28" s="69" t="s">
        <v>43</v>
      </c>
      <c r="F28" s="75"/>
      <c r="G28" s="68"/>
    </row>
    <row r="29" spans="5:15" x14ac:dyDescent="0.2">
      <c r="E29" s="57" t="s">
        <v>44</v>
      </c>
      <c r="G29" s="58"/>
    </row>
    <row r="30" spans="5:15" x14ac:dyDescent="0.2">
      <c r="E30" s="57" t="s">
        <v>45</v>
      </c>
      <c r="G30" s="58"/>
    </row>
    <row r="31" spans="5:15" x14ac:dyDescent="0.2">
      <c r="E31" s="57"/>
      <c r="F31" s="81"/>
      <c r="G31" s="82"/>
    </row>
    <row r="32" spans="5:15" x14ac:dyDescent="0.2">
      <c r="E32" s="57" t="s">
        <v>46</v>
      </c>
      <c r="F32" s="81">
        <f>+'ÅOP ÅOK'!C8*12</f>
        <v>0</v>
      </c>
      <c r="G32" s="58"/>
      <c r="H32" s="80"/>
      <c r="I32" s="80"/>
      <c r="J32" s="80"/>
      <c r="K32" s="80"/>
    </row>
    <row r="33" spans="5:19" x14ac:dyDescent="0.2">
      <c r="E33" s="57" t="s">
        <v>47</v>
      </c>
      <c r="F33" s="81" t="e">
        <f>SUM(F34:F37)</f>
        <v>#VALUE!</v>
      </c>
      <c r="G33" s="58"/>
      <c r="O33" s="1"/>
      <c r="P33" s="1"/>
      <c r="S33" s="2"/>
    </row>
    <row r="34" spans="5:19" x14ac:dyDescent="0.2">
      <c r="E34" s="57" t="s">
        <v>15</v>
      </c>
      <c r="F34" s="81" t="e">
        <f>'ÅOP ÅOK'!$C$19*Data!F32</f>
        <v>#VALUE!</v>
      </c>
      <c r="G34" s="58"/>
      <c r="O34" s="1"/>
      <c r="P34" s="1"/>
      <c r="S34" s="2"/>
    </row>
    <row r="35" spans="5:19" x14ac:dyDescent="0.2">
      <c r="E35" s="57" t="s">
        <v>16</v>
      </c>
      <c r="F35" s="81" t="e">
        <f>+'ÅOP ÅOK'!C20*Data!F32</f>
        <v>#VALUE!</v>
      </c>
      <c r="G35" s="58"/>
    </row>
    <row r="36" spans="5:19" x14ac:dyDescent="0.2">
      <c r="E36" s="57" t="s">
        <v>13</v>
      </c>
      <c r="F36" s="81" t="e">
        <f>+'ÅOP ÅOK'!C22*Data!F32</f>
        <v>#VALUE!</v>
      </c>
      <c r="G36" s="58"/>
    </row>
    <row r="37" spans="5:19" ht="13.5" thickBot="1" x14ac:dyDescent="0.25">
      <c r="E37" s="59" t="s">
        <v>12</v>
      </c>
      <c r="F37" s="83" t="e">
        <f>+'ÅOP ÅOK'!$C$21*Data!F32</f>
        <v>#VALUE!</v>
      </c>
      <c r="G37" s="61"/>
    </row>
    <row r="43" spans="5:19" x14ac:dyDescent="0.2">
      <c r="O43" s="2"/>
      <c r="P43" s="2"/>
    </row>
  </sheetData>
  <sheetProtection selectLockedCells="1" selectUnlockedCells="1"/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9E7D8ED278C14FA572CEF54A28B069" ma:contentTypeVersion="18" ma:contentTypeDescription="Opret et nyt dokument." ma:contentTypeScope="" ma:versionID="53af27f68ff4d62f2d97b8aa33de52c5">
  <xsd:schema xmlns:xsd="http://www.w3.org/2001/XMLSchema" xmlns:xs="http://www.w3.org/2001/XMLSchema" xmlns:p="http://schemas.microsoft.com/office/2006/metadata/properties" xmlns:ns2="e423d5e6-6643-4439-ba1c-c96e30719d26" xmlns:ns3="37fc7554-e7b4-4b0c-b791-931e99c08b1d" targetNamespace="http://schemas.microsoft.com/office/2006/metadata/properties" ma:root="true" ma:fieldsID="f5ccb8ddec6a0bb9e33f44de0665040e" ns2:_="" ns3:_="">
    <xsd:import namespace="e423d5e6-6643-4439-ba1c-c96e30719d26"/>
    <xsd:import namespace="37fc7554-e7b4-4b0c-b791-931e99c08b1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Noteradgang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3d5e6-6643-4439-ba1c-c96e30719d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03a8608-4fb4-455c-97a6-42619116b4d0}" ma:internalName="TaxCatchAll" ma:showField="CatchAllData" ma:web="e423d5e6-6643-4439-ba1c-c96e30719d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fc7554-e7b4-4b0c-b791-931e99c08b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ledmærker" ma:readOnly="false" ma:fieldId="{5cf76f15-5ced-4ddc-b409-7134ff3c332f}" ma:taxonomyMulti="true" ma:sspId="b0cd668b-751b-4112-be58-b51efcf8d0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radgange" ma:index="23" nillable="true" ma:displayName="Noter adgange" ma:format="Dropdown" ma:internalName="Noteradgange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23d5e6-6643-4439-ba1c-c96e30719d26" xsi:nil="true"/>
    <Noteradgange xmlns="37fc7554-e7b4-4b0c-b791-931e99c08b1d" xsi:nil="true"/>
    <lcf76f155ced4ddcb4097134ff3c332f xmlns="37fc7554-e7b4-4b0c-b791-931e99c08b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A19832-90D6-4670-9870-CE3C11E458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F5B15B-D151-4ABA-A3AA-B35A50AFF9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3d5e6-6643-4439-ba1c-c96e30719d26"/>
    <ds:schemaRef ds:uri="37fc7554-e7b4-4b0c-b791-931e99c08b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76D252-4686-4A38-A46E-A644EAC669D6}">
  <ds:schemaRefs>
    <ds:schemaRef ds:uri="http://schemas.microsoft.com/office/2006/metadata/properties"/>
    <ds:schemaRef ds:uri="http://schemas.microsoft.com/office/infopath/2007/PartnerControls"/>
    <ds:schemaRef ds:uri="e423d5e6-6643-4439-ba1c-c96e30719d26"/>
    <ds:schemaRef ds:uri="37fc7554-e7b4-4b0c-b791-931e99c08b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ÅOP ÅOK</vt:lpstr>
      <vt:lpstr>'ÅOP ÅOK'!Udskriftsområde</vt:lpstr>
    </vt:vector>
  </TitlesOfParts>
  <Company>%UD_COMPANY%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Mølgaard Nielsen</dc:creator>
  <cp:lastModifiedBy>Mads Johnsen Høj</cp:lastModifiedBy>
  <cp:lastPrinted>2023-02-15T15:25:35Z</cp:lastPrinted>
  <dcterms:created xsi:type="dcterms:W3CDTF">2019-07-12T07:15:09Z</dcterms:created>
  <dcterms:modified xsi:type="dcterms:W3CDTF">2026-08-05T11:28:52Z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0x010100239E7D8ED278C14FA572CEF54A28B069</vt:lpwstr>
  </property>
  <property fmtid="{D5CDD505-2E9C-101B-9397-08002B2CF9AE}" pid="3" name="Order">
    <vt:r8>1052400</vt:r8>
  </property>
  <property fmtid="{D5CDD505-2E9C-101B-9397-08002B2CF9AE}" pid="4" name="MSIP_Label_7863eedd-92af-467c-a28a-2126bbf1001b_Enabled">
    <vt:lpwstr>true</vt:lpwstr>
  </property>
  <property fmtid="{D5CDD505-2E9C-101B-9397-08002B2CF9AE}" pid="5" name="MSIP_Label_7863eedd-92af-467c-a28a-2126bbf1001b_SetDate">
    <vt:lpwstr>2026-07-07T13:14:16Z</vt:lpwstr>
  </property>
  <property fmtid="{D5CDD505-2E9C-101B-9397-08002B2CF9AE}" pid="6" name="MSIP_Label_7863eedd-92af-467c-a28a-2126bbf1001b_Method">
    <vt:lpwstr>Standard</vt:lpwstr>
  </property>
  <property fmtid="{D5CDD505-2E9C-101B-9397-08002B2CF9AE}" pid="7" name="MSIP_Label_7863eedd-92af-467c-a28a-2126bbf1001b_Name">
    <vt:lpwstr>Intern</vt:lpwstr>
  </property>
  <property fmtid="{D5CDD505-2E9C-101B-9397-08002B2CF9AE}" pid="8" name="MSIP_Label_7863eedd-92af-467c-a28a-2126bbf1001b_SiteId">
    <vt:lpwstr>19e67873-f8e1-48e3-b5d0-7d6b565ab35a</vt:lpwstr>
  </property>
  <property fmtid="{D5CDD505-2E9C-101B-9397-08002B2CF9AE}" pid="9" name="MSIP_Label_7863eedd-92af-467c-a28a-2126bbf1001b_ActionId">
    <vt:lpwstr>f836a1b3-236d-4fb1-99f0-b5893e7c0598</vt:lpwstr>
  </property>
  <property fmtid="{D5CDD505-2E9C-101B-9397-08002B2CF9AE}" pid="10" name="MSIP_Label_7863eedd-92af-467c-a28a-2126bbf1001b_ContentBits">
    <vt:lpwstr>0</vt:lpwstr>
  </property>
  <property fmtid="{D5CDD505-2E9C-101B-9397-08002B2CF9AE}" pid="11" name="MSIP_Label_7863eedd-92af-467c-a28a-2126bbf1001b_Tag">
    <vt:lpwstr>10, 3, 0, 1</vt:lpwstr>
  </property>
  <property fmtid="{D5CDD505-2E9C-101B-9397-08002B2CF9AE}" pid="12" name="MediaServiceImageTags">
    <vt:lpwstr/>
  </property>
</Properties>
</file>